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611_Stadtplanung\06-Verkehrsplanung\08_Stellplatzsatzung\final_2019\"/>
    </mc:Choice>
  </mc:AlternateContent>
  <bookViews>
    <workbookView xWindow="0" yWindow="0" windowWidth="2160" windowHeight="0" activeTab="1"/>
  </bookViews>
  <sheets>
    <sheet name="Anleitung" sheetId="11" r:id="rId1"/>
    <sheet name="1 Stellplatzbedarf" sheetId="10" r:id="rId2"/>
    <sheet name="2 Stellplatzreduktion" sheetId="9" r:id="rId3"/>
    <sheet name="3 KostenberechMobikonzept" sheetId="12" r:id="rId4"/>
    <sheet name="4 Mobilitaetskonzept" sheetId="14" r:id="rId5"/>
  </sheets>
  <calcPr calcId="162913"/>
</workbook>
</file>

<file path=xl/calcChain.xml><?xml version="1.0" encoding="utf-8"?>
<calcChain xmlns="http://schemas.openxmlformats.org/spreadsheetml/2006/main">
  <c r="L31" i="10" l="1"/>
  <c r="J15" i="10"/>
  <c r="B40" i="9" l="1"/>
  <c r="F34" i="12" l="1"/>
  <c r="F32" i="12"/>
  <c r="F30" i="12"/>
  <c r="F28" i="12"/>
  <c r="F18" i="12"/>
  <c r="F26" i="12" s="1"/>
  <c r="B53" i="12"/>
  <c r="D32" i="9"/>
  <c r="E32" i="9" s="1"/>
  <c r="F32" i="9" s="1"/>
  <c r="G32" i="9" s="1"/>
  <c r="C10" i="9"/>
  <c r="F14" i="9" s="1"/>
  <c r="C9" i="9"/>
  <c r="C8" i="9"/>
  <c r="D14" i="9" s="1"/>
  <c r="M31" i="10"/>
  <c r="J31" i="10"/>
  <c r="K31" i="10" s="1"/>
  <c r="L30" i="10"/>
  <c r="M30" i="10" s="1"/>
  <c r="J30" i="10"/>
  <c r="K30" i="10" s="1"/>
  <c r="L29" i="10"/>
  <c r="M29" i="10" s="1"/>
  <c r="J29" i="10"/>
  <c r="K29" i="10" s="1"/>
  <c r="L19" i="10"/>
  <c r="M19" i="10" s="1"/>
  <c r="J19" i="10"/>
  <c r="K19" i="10" s="1"/>
  <c r="L16" i="10"/>
  <c r="M16" i="10" s="1"/>
  <c r="J16" i="10"/>
  <c r="K16" i="10" s="1"/>
  <c r="L15" i="10"/>
  <c r="M15" i="10" s="1"/>
  <c r="K15" i="10"/>
  <c r="L12" i="10"/>
  <c r="M12" i="10" s="1"/>
  <c r="J12" i="10"/>
  <c r="K12" i="10" s="1"/>
  <c r="L11" i="10"/>
  <c r="M11" i="10" s="1"/>
  <c r="J11" i="10"/>
  <c r="K11" i="10" s="1"/>
  <c r="L10" i="10"/>
  <c r="J10" i="10"/>
  <c r="J6" i="10" l="1"/>
  <c r="J5" i="10" s="1"/>
  <c r="L6" i="10"/>
  <c r="L5" i="10" s="1"/>
  <c r="C18" i="9" s="1"/>
  <c r="C20" i="9" s="1"/>
  <c r="K10" i="10"/>
  <c r="K6" i="10" s="1"/>
  <c r="K5" i="10" s="1"/>
  <c r="C16" i="9" s="1"/>
  <c r="F16" i="9" s="1"/>
  <c r="M10" i="10"/>
  <c r="M6" i="10" s="1"/>
  <c r="M5" i="10" s="1"/>
  <c r="C15" i="9"/>
  <c r="F38" i="12"/>
  <c r="F40" i="12" s="1"/>
  <c r="F41" i="12" s="1"/>
  <c r="F43" i="12" s="1"/>
  <c r="E14" i="9" l="1"/>
  <c r="G14" i="9"/>
  <c r="D16" i="9"/>
  <c r="D18" i="9"/>
  <c r="C19" i="9"/>
  <c r="C21" i="9"/>
  <c r="F44" i="12"/>
  <c r="F48" i="12"/>
  <c r="D21" i="9" l="1"/>
  <c r="D20" i="9"/>
  <c r="D19" i="9"/>
  <c r="C17" i="9"/>
  <c r="D15" i="9"/>
  <c r="C34" i="9"/>
  <c r="C33" i="9" s="1"/>
  <c r="F15" i="9"/>
  <c r="G16" i="9" s="1"/>
  <c r="G17" i="9" s="1"/>
  <c r="E18" i="9" l="1"/>
  <c r="E16" i="9"/>
  <c r="E17" i="9" s="1"/>
  <c r="F34" i="9"/>
  <c r="F36" i="9" s="1"/>
  <c r="C36" i="9"/>
  <c r="L20" i="9"/>
  <c r="D34" i="9"/>
  <c r="D36" i="9" s="1"/>
  <c r="F17" i="9"/>
  <c r="C35" i="9"/>
  <c r="D17" i="9"/>
  <c r="F18" i="9"/>
  <c r="F21" i="9" s="1"/>
  <c r="G18" i="9"/>
  <c r="E19" i="9" l="1"/>
  <c r="E34" i="9"/>
  <c r="G34" i="9"/>
  <c r="G33" i="9" s="1"/>
  <c r="G19" i="9"/>
  <c r="F33" i="9"/>
  <c r="L21" i="9"/>
  <c r="L23" i="9"/>
  <c r="D33" i="9"/>
  <c r="F35" i="9"/>
  <c r="D35" i="9"/>
  <c r="F19" i="9"/>
  <c r="F20" i="9"/>
  <c r="E33" i="9" l="1"/>
  <c r="L22" i="9"/>
  <c r="E35" i="9"/>
  <c r="E36" i="9" s="1"/>
  <c r="E20" i="9"/>
  <c r="E21" i="9"/>
  <c r="L24" i="9"/>
  <c r="G35" i="9"/>
  <c r="G36" i="9" s="1"/>
  <c r="G20" i="9"/>
  <c r="G21" i="9"/>
  <c r="B3" i="12"/>
  <c r="M24" i="9" s="1"/>
  <c r="M22" i="9" l="1"/>
  <c r="M23" i="9"/>
  <c r="M20" i="9"/>
  <c r="M21" i="9"/>
  <c r="F46" i="12" s="1"/>
  <c r="F45" i="12"/>
  <c r="D45" i="12"/>
</calcChain>
</file>

<file path=xl/comments1.xml><?xml version="1.0" encoding="utf-8"?>
<comments xmlns="http://schemas.openxmlformats.org/spreadsheetml/2006/main">
  <authors>
    <author>Hannah Eberhardt</author>
  </authors>
  <commentList>
    <comment ref="D20" authorId="0" shapeId="0">
      <text>
        <r>
          <rPr>
            <sz val="9"/>
            <color indexed="81"/>
            <rFont val="Segoe UI"/>
            <family val="2"/>
          </rPr>
          <t>*4: Grundfläche aller dem Kundenverkehr dienenden Räume mit Ausnahme von Fluren, Treppenräumen, Toiletten, Waschräumen und Stellplatzanlagen</t>
        </r>
      </text>
    </comment>
    <comment ref="F20" authorId="0" shapeId="0">
      <text>
        <r>
          <rPr>
            <sz val="9"/>
            <color indexed="81"/>
            <rFont val="Segoe UI"/>
            <family val="2"/>
          </rPr>
          <t>*4: Grundfläche aller dem Kundenverkehr dienenden Räume mit Ausnahme von Fluren, Treppenräumen, Toiletten, Waschräumen und Stellplatzanlagen</t>
        </r>
      </text>
    </comment>
    <comment ref="D30" authorId="0" shapeId="0">
      <text>
        <r>
          <rPr>
            <sz val="9"/>
            <color indexed="81"/>
            <rFont val="Segoe UI"/>
            <family val="2"/>
          </rPr>
          <t>* 1 Der Stellplatz- oder Fahrradstellplatzbedarf ist in der Regel nach der Nutzfläche zu berechnen; ergibt sich dabei ein offensichtliches Missverhältnis zum tatsächlichen Bedarf, so ist die Zahl der Beschäftigten zugrunde zu legen.</t>
        </r>
      </text>
    </comment>
    <comment ref="F30" authorId="0" shapeId="0">
      <text>
        <r>
          <rPr>
            <sz val="9"/>
            <color indexed="81"/>
            <rFont val="Segoe UI"/>
            <family val="2"/>
          </rPr>
          <t>* 1 Der Stellplatz- oder Fahrradstellplatzbedarf ist in der Regel nach der Nutzfläche zu berechnen; ergibt sich dabei ein offensichtliches Missverhältnis zum tatsächlichen Bedarf, so ist die Zahl der Beschäftigten zugrunde zu legen.</t>
        </r>
      </text>
    </comment>
    <comment ref="D32" authorId="0" shapeId="0">
      <text>
        <r>
          <rPr>
            <sz val="9"/>
            <color indexed="81"/>
            <rFont val="Segoe UI"/>
            <family val="2"/>
          </rPr>
          <t>* 1 Der Stellplatz- oder Fahrradstellplatzbedarf ist in der Regel nach der Nutzfläche zu berechnen; ergibt sich dabei ein offensichtliches Missverhältnis zum tatsächlichen Bedarf, so ist die Zahl der Beschäftigten zugrunde zu legen.</t>
        </r>
      </text>
    </comment>
    <comment ref="F32" authorId="0" shapeId="0">
      <text>
        <r>
          <rPr>
            <sz val="9"/>
            <color indexed="81"/>
            <rFont val="Segoe UI"/>
            <family val="2"/>
          </rPr>
          <t>* 1 Der Stellplatz- oder Fahrradstellplatzbedarf ist in der Regel nach der Nutzfläche zu berechnen; ergibt sich dabei ein offensichtliches Missverhältnis zum tatsächlichen Bedarf, so ist die Zahl der Beschäftigten zugrunde zu legen.</t>
        </r>
      </text>
    </comment>
  </commentList>
</comments>
</file>

<file path=xl/sharedStrings.xml><?xml version="1.0" encoding="utf-8"?>
<sst xmlns="http://schemas.openxmlformats.org/spreadsheetml/2006/main" count="252" uniqueCount="203">
  <si>
    <t>CS</t>
  </si>
  <si>
    <t>Summe einmalige Kosten</t>
  </si>
  <si>
    <t>12*2*5,95</t>
  </si>
  <si>
    <t>Summe jährliche Kosten, Jahr 1</t>
  </si>
  <si>
    <t>Kosten Rechenweg</t>
  </si>
  <si>
    <t>Kosten</t>
  </si>
  <si>
    <t>1*10.000 €</t>
  </si>
  <si>
    <t xml:space="preserve">Verkehrsquelle </t>
  </si>
  <si>
    <t>Zahl der Stellplätze</t>
  </si>
  <si>
    <t>hiervon für Besucher/-innen in %</t>
  </si>
  <si>
    <t>Wohnungen 
über 45 und bis 90 qm Wohnfläche</t>
  </si>
  <si>
    <t>Wohnungen 
über 90 qm Wohnfläche</t>
  </si>
  <si>
    <t>einmalige Kosten</t>
  </si>
  <si>
    <t>Bereich</t>
  </si>
  <si>
    <t>Maßnahme</t>
  </si>
  <si>
    <t>…</t>
  </si>
  <si>
    <t>Mustermaßnahme Bereich Carsharing
z.B. Herstellung Carsharing-Stellplatz</t>
  </si>
  <si>
    <t>jährliche Kosten</t>
  </si>
  <si>
    <t>Summe Gesamtkosten Mobilitätsmaßnahmen über 5 Jahre, mit Preissteigerung</t>
  </si>
  <si>
    <t>Berechnung des Stellplatzbedarfs</t>
  </si>
  <si>
    <t>Nr. laut Anlage 1</t>
  </si>
  <si>
    <t>Wohnungen 
bis 45 qm Wohnfläche</t>
  </si>
  <si>
    <t>herzustellende Stellplätze</t>
  </si>
  <si>
    <t xml:space="preserve">Gebäude mit mehr als 2 Wohnungen: </t>
  </si>
  <si>
    <t>1.2</t>
  </si>
  <si>
    <t>1. Wohngebäude</t>
  </si>
  <si>
    <t>Büro- und Verwaltungsräume allgemein</t>
  </si>
  <si>
    <t>2.1</t>
  </si>
  <si>
    <t>2.2</t>
  </si>
  <si>
    <t>Büro-, Verwaltungs- und Praxisräume mit erheblichem Besucher/-innenverkehr (z.B. Arztpraxen, Bankfilialen)</t>
  </si>
  <si>
    <t>2. Gebäude mit Büro-, Verwaltungs- und Praxisräumen</t>
  </si>
  <si>
    <t>3. Verkaufsstätten</t>
  </si>
  <si>
    <t>3.1</t>
  </si>
  <si>
    <t>Einzelhandelsbetriebe bis 800 m² Verkaufsnutzfläche</t>
  </si>
  <si>
    <t>1.1, 1.3-1.7</t>
  </si>
  <si>
    <t>3.2-3.3</t>
  </si>
  <si>
    <t>4. Versammlungsstätten (außer Sportstätten), Kirchen</t>
  </si>
  <si>
    <t>5. Sportstätten</t>
  </si>
  <si>
    <t>6. Gaststätten, Beherbergungsbetriebe und Tagungsstätten</t>
  </si>
  <si>
    <t>7. Krankenanstalten</t>
  </si>
  <si>
    <t>8. Schulen, Einrichtungen der Jugendförderung</t>
  </si>
  <si>
    <t>9. Gewerbliche Anlagen</t>
  </si>
  <si>
    <t>4-8</t>
  </si>
  <si>
    <t>Handwerks- und Industriebetriebe</t>
  </si>
  <si>
    <t>Handwerksbetriebe mit regem Publikumsverkehr (Frisör u.ä.)</t>
  </si>
  <si>
    <t>9.1</t>
  </si>
  <si>
    <t>9.2</t>
  </si>
  <si>
    <t>9.3-9.8</t>
  </si>
  <si>
    <t>10. Verschiedenes</t>
  </si>
  <si>
    <t>10</t>
  </si>
  <si>
    <t>herzustellende Fahrradabstell-plätze</t>
  </si>
  <si>
    <t>Berechnungsvorlage für häufige Nutzungen</t>
  </si>
  <si>
    <t xml:space="preserve">Bitte tragen Sie unten die geplante Maßnahme und die Kosten ein. </t>
  </si>
  <si>
    <t>Mustermaßnahme Bereich Lastenrad
z.B. Kauf eines Lastenrads</t>
  </si>
  <si>
    <t>Mustermaßnahme Bereich Lastenrad
Online-Buchungssoftware für das Lastenrad</t>
  </si>
  <si>
    <t>Lasten</t>
  </si>
  <si>
    <t>Ticket</t>
  </si>
  <si>
    <t>40 (erwachsene Mieter) * 280€</t>
  </si>
  <si>
    <t>Verleih</t>
  </si>
  <si>
    <t>Mark.</t>
  </si>
  <si>
    <t>3.000 € Anschaffung + 350 € Montage</t>
  </si>
  <si>
    <t>20*100 (kWh)*0,2673 € (pro kWh)+220,98 (Grundgebühr Stromanschluss)</t>
  </si>
  <si>
    <t>Mustermaßnahme Bereich E-Roller-/E-Bike-/Pedelec-Verleih
z.B. Kauf eines Pedelecs</t>
  </si>
  <si>
    <t>1*2.500 €</t>
  </si>
  <si>
    <t>Mustermaßnahme Bereich E-Roller-/E-Bike-/Pedelec-Verleih
Online-Buchungssoftware für das Pedelec</t>
  </si>
  <si>
    <t>Mustermaßnahme Bereich Vermarktung / Marketing
z.B. ÖPNV-Abfahrtsmonitor (Werbedisplay)</t>
  </si>
  <si>
    <t>Mustermaßnahme Bereich Carsharing
Stromkosten für das Laden des E-Carsharing-Fahrzeugs</t>
  </si>
  <si>
    <t xml:space="preserve">1 * 4.950 € </t>
  </si>
  <si>
    <t>40 (erwachsene Mieter) * 386,30€</t>
  </si>
  <si>
    <t>Mustermaßnahme Bereich Mieter-/Jobticket
z.B. dauerhafte Übernahme Kosten Mieterticket für alle erwachsenen Mieter (Fahrpreis für 9h-Monatskarte für Oberursel wird erstattet, Mieter können auf eigene Kosten höherwertige Jahreskarte kaufen)</t>
  </si>
  <si>
    <t>Mustermaßnahme Bereich Vermarktung / Marketing
z.B. laufende Kosten für ÖPNV-Abfahrtsmonitor (Werbedisplay)</t>
  </si>
  <si>
    <t>1 * 150 (Stromkosten) + 1* 100 (Reparatur + Service)</t>
  </si>
  <si>
    <t>hiervon für Besucher/-innen</t>
  </si>
  <si>
    <t>Anzahl entspre-chender Wohn-/ Gewerbe-einheiten bzw. qm (Nutz-) Fläche</t>
  </si>
  <si>
    <t>, jedoch mindestens 3</t>
  </si>
  <si>
    <t>, jedoch mindestens 2 je Laden (*4)</t>
  </si>
  <si>
    <t>(*4)</t>
  </si>
  <si>
    <t>, jedoch mindestens 2 (*1)</t>
  </si>
  <si>
    <t>(*1)</t>
  </si>
  <si>
    <t>Zahl der Fahrradabstellplätze</t>
  </si>
  <si>
    <t>Zone I (grün)</t>
  </si>
  <si>
    <t>Zone II (gelb)</t>
  </si>
  <si>
    <t>Zone III (rot)</t>
  </si>
  <si>
    <t>Altstadt (grau)</t>
  </si>
  <si>
    <t>Innenbereich (blau)</t>
  </si>
  <si>
    <t>nein</t>
  </si>
  <si>
    <t>keiner der genannten Bereiche</t>
  </si>
  <si>
    <t>Ersetzung durch Fahrradabstellplätze</t>
  </si>
  <si>
    <t>Reduktion aufgrund Lage</t>
  </si>
  <si>
    <t>ja, uneingeschränkt</t>
  </si>
  <si>
    <t>Ersetzungsbefugnis anwendbar?</t>
  </si>
  <si>
    <t>nur anstelle Reduktion aufgrund Lage</t>
  </si>
  <si>
    <t>Stellplatzreduktion aufgrund der Lage oder durch Ersetzung mit Fahrradabstellplätzen</t>
  </si>
  <si>
    <t>in Prozent</t>
  </si>
  <si>
    <r>
      <rPr>
        <b/>
        <sz val="11"/>
        <color theme="1"/>
        <rFont val="Calibri"/>
        <family val="2"/>
        <scheme val="minor"/>
      </rPr>
      <t>Wo liegt das Bauvorhaben?</t>
    </r>
    <r>
      <rPr>
        <sz val="11"/>
        <color theme="1"/>
        <rFont val="Calibri"/>
        <family val="2"/>
        <scheme val="minor"/>
      </rPr>
      <t xml:space="preserve"> Stellen Sie dies anhand der Anlage 2 in der Stellplatzsatzung fest.</t>
    </r>
  </si>
  <si>
    <t>Anzahl noch herzustellender Stellplätze</t>
  </si>
  <si>
    <t>Bitte bearbeiten Sie nacheinander die verschiedenen Tabellenblätter:</t>
  </si>
  <si>
    <t>1 Stellplatzbedarf</t>
  </si>
  <si>
    <t>2 Stellplatzreduktion</t>
  </si>
  <si>
    <t>So gehen Sie vor</t>
  </si>
  <si>
    <t>Anzahl herzustellender Pkw-Stellplätze</t>
  </si>
  <si>
    <t>Sie haben die 30% noch nicht erreicht und wollen mehr Stellplätze ablösen? Folgender Betrag fehlt noch um einen Stellplatz mehr abzulösen als oben berechnet</t>
  </si>
  <si>
    <t xml:space="preserve">   davon für BesucherInnen</t>
  </si>
  <si>
    <t>Überblick: Anzahl herzustellender (Ab-)Stellplätze für Ihr Bauvorhaben, Möglichkeiten im Vergleich</t>
  </si>
  <si>
    <t>mit Reduktion aufgrund Lage</t>
  </si>
  <si>
    <t>mit Reduktion durch Ersetzung</t>
  </si>
  <si>
    <t>Klicken Sie in das weiße Eingabefeld unten und wählen einen Bereich aus.</t>
  </si>
  <si>
    <t>Anzahl herzustellender Rad-Abstellplätze</t>
  </si>
  <si>
    <t>ohne Stellplatz-reduktion</t>
  </si>
  <si>
    <t>maximale Reduktion aufgrund Lage:</t>
  </si>
  <si>
    <t>maximale Reduktion in %</t>
  </si>
  <si>
    <t>maximale Reduktion durch Ersetzung:</t>
  </si>
  <si>
    <t xml:space="preserve">   davon für Lastenräder/Anhänger (§5, Abs. 9)</t>
  </si>
  <si>
    <t xml:space="preserve">   davon mit Witterungsschutz (§5, Absatz 10)</t>
  </si>
  <si>
    <t xml:space="preserve">   davon mit Stromzuleitung (§5, Abs. 9)</t>
  </si>
  <si>
    <t>Überblick allgemein</t>
  </si>
  <si>
    <t>Spalte1</t>
  </si>
  <si>
    <t>Spalte2</t>
  </si>
  <si>
    <t>Reduktion aufgrund Lage (eigener Wert)</t>
  </si>
  <si>
    <t>Reduktion durch Ersetzung (eigener Wert)</t>
  </si>
  <si>
    <t>In den weiß hinterlegten Eingabefeldern müssen (oder können) Sie selbst etwas eingeben bzw. auswählen.</t>
  </si>
  <si>
    <t>In den lila umrahmten Ergebnisfeldern wird Ihnen das Ergebnis der Berechnungen angezeigt.</t>
  </si>
  <si>
    <t>Erläuterungsfeld</t>
  </si>
  <si>
    <t>Eingabefeld</t>
  </si>
  <si>
    <t>Ergebnisfeld</t>
  </si>
  <si>
    <t>Hinweis: Unten sind jeweils die Mindest-Anzahlen an Stelllplätzen dargestellt. Es steht Ihnen frei, eine höhere Anzahl an Stell-plätzen und / oder Fahrradabstell-plätzen herzustellen als in der Tabelle angezeigt.</t>
  </si>
  <si>
    <t>ja</t>
  </si>
  <si>
    <r>
      <t xml:space="preserve">Bitte entscheiden Sie sich für </t>
    </r>
    <r>
      <rPr>
        <u/>
        <sz val="11"/>
        <color theme="1"/>
        <rFont val="Calibri"/>
        <family val="2"/>
        <scheme val="minor"/>
      </rPr>
      <t>eine</t>
    </r>
    <r>
      <rPr>
        <sz val="11"/>
        <color theme="1"/>
        <rFont val="Calibri"/>
        <family val="2"/>
        <scheme val="minor"/>
      </rPr>
      <t xml:space="preserve"> Möglichkeit:</t>
    </r>
  </si>
  <si>
    <t>Auch beim Mobilitätskonzept können Sie die Reduktion geringer halten und z.B. nur einen Stellplatz durch ein Mobilitätskonzept ersetzen.</t>
  </si>
  <si>
    <t>keine Stellplatzreduktion</t>
  </si>
  <si>
    <t>Summe jährliche Kosten, mit Preissteigerung, über 5 Jahre</t>
  </si>
  <si>
    <t>Summe jährliche Kosten, mit Preissteigerung, jährlicher Durchschnitt</t>
  </si>
  <si>
    <t>Anzahl ersetzbarer Stellpätze (je volle 12.500€ kann 1 Stellplatz ersetzt werden)</t>
  </si>
  <si>
    <t xml:space="preserve"> jährliche Preissteigerung (Eingabefeld); Voreinstellung 2%.</t>
  </si>
  <si>
    <t>Jahre Laufzeit Mobilitätsmaßnahmen in Jahren</t>
  </si>
  <si>
    <t>maximale Reduktion in Anzahl Stellplätzen</t>
  </si>
  <si>
    <t>Nr. Optionskästchen</t>
  </si>
  <si>
    <t>Auswahl</t>
  </si>
  <si>
    <t>max Reduktion mit Mobikonzept</t>
  </si>
  <si>
    <t>tatsächlich herzust. Stpl. mit Mobikonzept</t>
  </si>
  <si>
    <t>3 KostenberechnMobikonzept</t>
  </si>
  <si>
    <t>4 Mobilitätskonzept</t>
  </si>
  <si>
    <t>Nur bei Erstellung Mobilitätskonzept: Kostenberechnung Mobilitätsmaßnahmen</t>
  </si>
  <si>
    <t>Nur bei Erstellung Mobilitätskonzept: weitere Inhalte für das Mobilitätskonzept</t>
  </si>
  <si>
    <t>In den grau hinterlegten Erläuterungsfeldern stehen bereits vorhandene Informationen bzw. erhalten Sie Hinweise zum Ausfüllen.</t>
  </si>
  <si>
    <r>
      <t xml:space="preserve">Überblick: </t>
    </r>
    <r>
      <rPr>
        <b/>
        <u/>
        <sz val="12"/>
        <color theme="1"/>
        <rFont val="Calibri"/>
        <family val="2"/>
        <scheme val="minor"/>
      </rPr>
      <t>zusätzliche</t>
    </r>
    <r>
      <rPr>
        <b/>
        <sz val="12"/>
        <color theme="1"/>
        <rFont val="Calibri"/>
        <family val="2"/>
        <scheme val="minor"/>
      </rPr>
      <t xml:space="preserve"> Reduktion der Anzahl der Stellplätze durch ein Mobilitätskonzept (um bis zu weitere 30%, §4, Abs. 3)</t>
    </r>
  </si>
  <si>
    <t>Bitte wählen Sie aus mindestens 3 der folgenden 5 Bereiche Maßnahmen aus:</t>
  </si>
  <si>
    <t>(E-)Carsharing (CS)</t>
  </si>
  <si>
    <t>Mieter-/Jobticket (Ticket)</t>
  </si>
  <si>
    <t xml:space="preserve"> Lastenradverleih (Lasten)</t>
  </si>
  <si>
    <t>E-Roller-/E-Bike-/Pedelec-Verleih (Verleih)</t>
  </si>
  <si>
    <t>Reduktion aufgrund Lage (vorgegebener Wert)</t>
  </si>
  <si>
    <t>Reduktion durch Ersetzung (vorgegebener Wert)</t>
  </si>
  <si>
    <t>Möchten Sie mit einem Mobilitätskonzept weitere Stellplätze ersetzen?</t>
  </si>
  <si>
    <t>qm</t>
  </si>
  <si>
    <t>weitere Wohnunnutzungen siehe Stellplatzsatzung Anlage 1! (falls zutreffend bitte selbst berechnen und eintragen)</t>
  </si>
  <si>
    <t>weitere Verkaufsnutzungen siehe Stellplatzsatzung Anlage 1! (falls zutreffend bitte selbst berechnen und eintragen)</t>
  </si>
  <si>
    <t>für Nutzung nach Punkt 4 bis 8 siehe Stellplatzsatzung Anlage 1! (falls zutreffend bitte selbst berechnen und eintragen)</t>
  </si>
  <si>
    <t>weitere gewerbliche Nutzungen siehe Stellplatzsatzung Anlage 1! (falls zutreffend bitte selbst berechnen und eintragen)</t>
  </si>
  <si>
    <t>für Nutzung nach Punkt 10 siehe Stellplatzsatzung Anlage 1! (falls zutreffend bitte selbst berechnen und eintragen)</t>
  </si>
  <si>
    <t>Ihre Nutzung ist auch nicht in der Anlage 1 der Stellplatzsatzung genannt? Gehen Sie nach § 3, Absatz 3 vor und ermitteln den zu erwartenden Bedarf. Ein Beispiel finden Sie im Leitfaden. (falls zutreffend bitte selbst berechnen und eintragen)</t>
  </si>
  <si>
    <t>Einheit</t>
  </si>
  <si>
    <t>WE</t>
  </si>
  <si>
    <t>Beschäftigte</t>
  </si>
  <si>
    <t>Summe (Ab-)Stellplatzbedarf</t>
  </si>
  <si>
    <t>ungerundet</t>
  </si>
  <si>
    <t>entsprechend Anlage 1 zur Stellplatzsatzung - Bedarf an Stellplätzen und Fahrradabstellplätzen
Zur Berechnung von Wohnflächen und Nutzflächen siehe Anlage 3 zur Stellplatzsatzung.</t>
  </si>
  <si>
    <t>Die Stellplatzanforderungen beziehen sich jeweils auf angefangene qm oder sonstige Einheiten.
§3, Abs. 6: Bei der Stellplatzberechnung ist je Gebäude ab dem Wert fünf der ersten Nachkommastelle auf einen vollen Stellplatz aufzurunden. 
Bei der Fahrradabstellplatzberechnung ist auf volle Fahrradabstellplätze aufzurunden.</t>
  </si>
  <si>
    <t>Rechts im Kasten wird Ihnen das Ergebnis der Berechung angezeigt.</t>
  </si>
  <si>
    <t>Annahmen und Voreinstellungen</t>
  </si>
  <si>
    <t>Faktor Preissteigerung bei 5 Jahren Laufzeit, Jahr 1 ohne Preissteigerung</t>
  </si>
  <si>
    <t>= maximale Anzahl durch das Mobilitätskonzept ersetzbare Stellplätze (ermittelt aus Ihren Angaben in der vorherigen Seite)</t>
  </si>
  <si>
    <t>Kostenberechnung Mobilitätsmaßnahmen für Mobilitätskonzept</t>
  </si>
  <si>
    <r>
      <t>In dieser Vorlage sind zur Veranschaulichung bereits Werte eingetragen;</t>
    </r>
    <r>
      <rPr>
        <b/>
        <sz val="11"/>
        <color rgb="FFFF0000"/>
        <rFont val="Calibri"/>
        <family val="2"/>
        <scheme val="minor"/>
      </rPr>
      <t xml:space="preserve"> </t>
    </r>
    <r>
      <rPr>
        <b/>
        <sz val="11"/>
        <rFont val="Calibri"/>
        <family val="2"/>
        <scheme val="minor"/>
      </rPr>
      <t>bitte entfernen sofern nicht zutreffend</t>
    </r>
    <r>
      <rPr>
        <sz val="11"/>
        <rFont val="Calibri"/>
        <family val="2"/>
        <scheme val="minor"/>
      </rPr>
      <t>.</t>
    </r>
  </si>
  <si>
    <t>Mobilitätskonzept</t>
  </si>
  <si>
    <t>Bestandteile des Mobilitätskonzepts laut Leitfaden:</t>
  </si>
  <si>
    <t>Finanzierungskonzept und Kostenkalkulation zu Herstellung und Betrieb (auf jährlicher Basis) von baulichen Maßnahmen (exkl. Planungsleistung)</t>
  </si>
  <si>
    <t xml:space="preserve">Vertragsangebote bzw. Absichtserklärungen zwischen dem Bauherrn / Eigentümer und Carsharing-Anbietern, dem RMV-Verkehrsverbund o. ä. </t>
  </si>
  <si>
    <t>Hinweise</t>
  </si>
  <si>
    <t>---</t>
  </si>
  <si>
    <t>Wichtige Ansprechpersonen finden Sie weiter unten auf diesem Tabellenblatt.</t>
  </si>
  <si>
    <t>ggf. sonstige Maßnahme</t>
  </si>
  <si>
    <t>Sie können hierfür das Tabellenblatt "3 KostenberechMobikonzept" nutzen, indem Sie die Inhalte in Ihr Mobilitätskonzept kopieren.</t>
  </si>
  <si>
    <t>Carsharing</t>
  </si>
  <si>
    <t>Kontakt: Ulrich Natterer, book-n-drive, natterer@book-n-drive.de, 0611 . 77 8 77 64</t>
  </si>
  <si>
    <t>Der in Oberursel aktuell aktive Anbieter ist book-n-drive.</t>
  </si>
  <si>
    <t>Bus+Bahn</t>
  </si>
  <si>
    <t>Kommt für Sie aufgrund der Größe Ihres Bauvorhabens ein Großkundenrabatt in Erwägung, ist der Rhein-Main-Verkehrsverbund Ansprechpatrner. Für Großkunden müssen mindestens 10 Jahreskarten abgenommen werden (auch mit unterschiedlichen Geltungsbereichen).</t>
  </si>
  <si>
    <t>Kontakt: Herr Noé, RMV, w_noe@rmv.de, (0 61 92) 294-430</t>
  </si>
  <si>
    <t xml:space="preserve">Sie können hierfür die Beispiele am Ende des Leitfadens nutzen und diese als Inspiration nehmen oder direkt für Ihr Bauvorhaben anpassen. </t>
  </si>
  <si>
    <t>Lastenräder</t>
  </si>
  <si>
    <t>Grundsätzlich sind Sie frei in der Wahl des Anbieters, allerdings sind nicht in der Region tätige Anbieter meist nicht bereit ein Fahrzeug an einen Einzelstandort zu errichten. Klären Sie möglichst frühzeitig ab, ob Ihr Standort sich überhaupt für Carsharing eignet.</t>
  </si>
  <si>
    <t>Mustermaßnahme Bereich Mieter-/Jobticket
z.B. verbundweites Schnupperticket für einen Monat für neue Mieter</t>
  </si>
  <si>
    <t>Name des Bauherrn</t>
  </si>
  <si>
    <t>Betriebskonzept (inkl. Hinweisen zu Marketing) / Kurzbeschreibung inkl. Umfang der jeweils beabsichtigen Maßnahmen und deren Nutzen für ein nachhaltiges Mobilitätsverhalten inklusive Benennung der Flurstücke, auf denen die jeweiligen Maßnahmen physisch hergerichtet werden sollen bzw. welche Mobilitätsdienstleistungen den Gebäudenutzern nutzbar gemacht werden</t>
  </si>
  <si>
    <t>Lageplan des Bauvorhabens im Maßstab, mit Kenntlichmachung der geplanten Mobilitätsmaßnahmen (beispielsweise Darstellung Carsharing-Stellplatz, Lademöglichkeit für Pedelecs o. ä.)</t>
  </si>
  <si>
    <t xml:space="preserve">…   </t>
  </si>
  <si>
    <t xml:space="preserve">…  </t>
  </si>
  <si>
    <t>Die ausgewählte Möglichkeit erscheint in grün</t>
  </si>
  <si>
    <r>
      <t xml:space="preserve">Information/Marketing (Mark.) </t>
    </r>
    <r>
      <rPr>
        <b/>
        <sz val="11"/>
        <color theme="1"/>
        <rFont val="Calibri"/>
        <family val="2"/>
        <scheme val="minor"/>
      </rPr>
      <t>(zwingend notwendig)</t>
    </r>
  </si>
  <si>
    <t>Ein Überblick über aktuell erhältliche Lastenräder findet sich auf https://www.cargobike.jetzt/lastenrad-hersteller/</t>
  </si>
  <si>
    <t>Sollten Sie noch Fragen haben, wenden Sie sich bitte an den Fachbereich Mobilität der Stadt Oberursel (Taunus):</t>
  </si>
  <si>
    <t>verkehrsplanung@oberursel.de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</si>
</sst>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44" formatCode="_-* #,##0.00\ &quot;€&quot;_-;\-* #,##0.00\ &quot;€&quot;_-;_-* &quot;-&quot;??\ &quot;€&quot;_-;_-@_-"/>
    <numFmt numFmtId="164" formatCode="_-* #,##0.00\ _€_-;\-* #,##0.00\ _€_-;_-* &quot;-&quot;??\ _€_-;_-@_-"/>
    <numFmt numFmtId="165" formatCode="0.0"/>
    <numFmt numFmtId="166" formatCode="_-* #,##0\ &quot;€&quot;_-;\-* #,##0\ &quot;€&quot;_-;_-* &quot;-&quot;??\ &quot;€&quot;_-;_-@_-"/>
    <numFmt numFmtId="167" formatCode="_-* #,##0\ _€_-;\-* #,##0\ _€_-;_-* &quot;-&quot;??\ _€_-;_-@_-"/>
    <numFmt numFmtId="168" formatCode="&quot;1 je angefangene&quot;\ ##0\ &quot;qm Nutzfläche&quot;"/>
    <numFmt numFmtId="169" formatCode="&quot;1 je&quot;\ ##0\ &quot;qm Nutzfläche&quot;"/>
    <numFmt numFmtId="170" formatCode="&quot;1 je angef.&quot;\ ##0\ &quot;qm Verkaufsnutzfläche&quot;"/>
    <numFmt numFmtId="171" formatCode="&quot;1 je&quot;\ ##0\ &quot;qm Verkaufsnutzfläche&quot;"/>
    <numFmt numFmtId="172" formatCode="&quot;oder je&quot;\ #0\ &quot;Beschäftigte (*1)&quot;"/>
    <numFmt numFmtId="173" formatCode="&quot;ca.&quot;\ 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4"/>
      <color theme="1"/>
      <name val="Calibri"/>
      <family val="2"/>
      <scheme val="minor"/>
    </font>
    <font>
      <b/>
      <sz val="12"/>
      <name val="Calibri"/>
      <family val="2"/>
      <scheme val="minor"/>
    </font>
    <font>
      <b/>
      <sz val="11"/>
      <color rgb="FFFF0000"/>
      <name val="Calibri"/>
      <family val="2"/>
      <scheme val="minor"/>
    </font>
    <font>
      <sz val="9"/>
      <color indexed="81"/>
      <name val="Segoe UI"/>
      <family val="2"/>
    </font>
    <font>
      <b/>
      <sz val="14"/>
      <name val="Calibri"/>
      <family val="2"/>
      <scheme val="minor"/>
    </font>
    <font>
      <sz val="11"/>
      <color theme="1" tint="0.249977111117893"/>
      <name val="Calibri"/>
      <family val="2"/>
      <scheme val="minor"/>
    </font>
    <font>
      <u/>
      <sz val="11"/>
      <color theme="1"/>
      <name val="Calibri"/>
      <family val="2"/>
      <scheme val="minor"/>
    </font>
    <font>
      <sz val="11"/>
      <color theme="1" tint="4.9989318521683403E-2"/>
      <name val="Calibri"/>
      <family val="2"/>
      <scheme val="minor"/>
    </font>
    <font>
      <b/>
      <u/>
      <sz val="12"/>
      <color theme="1"/>
      <name val="Calibri"/>
      <family val="2"/>
      <scheme val="minor"/>
    </font>
    <font>
      <b/>
      <sz val="11"/>
      <name val="Calibri"/>
      <family val="2"/>
      <scheme val="minor"/>
    </font>
    <font>
      <sz val="11"/>
      <color theme="0"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rgb="FF7030A0"/>
      </left>
      <right style="medium">
        <color rgb="FF7030A0"/>
      </right>
      <top style="medium">
        <color rgb="FF7030A0"/>
      </top>
      <bottom style="medium">
        <color rgb="FF7030A0"/>
      </bottom>
      <diagonal/>
    </border>
    <border>
      <left style="medium">
        <color rgb="FF7030A0"/>
      </left>
      <right style="thin">
        <color theme="0" tint="-0.34998626667073579"/>
      </right>
      <top style="medium">
        <color rgb="FF7030A0"/>
      </top>
      <bottom style="thin">
        <color theme="0" tint="-0.34998626667073579"/>
      </bottom>
      <diagonal/>
    </border>
    <border>
      <left style="medium">
        <color rgb="FF7030A0"/>
      </left>
      <right style="thin">
        <color theme="0" tint="-0.34998626667073579"/>
      </right>
      <top style="thin">
        <color theme="0" tint="-0.34998626667073579"/>
      </top>
      <bottom style="thin">
        <color theme="0" tint="-0.34998626667073579"/>
      </bottom>
      <diagonal/>
    </border>
    <border>
      <left style="medium">
        <color rgb="FF7030A0"/>
      </left>
      <right style="thin">
        <color theme="0" tint="-0.34998626667073579"/>
      </right>
      <top style="thin">
        <color theme="0" tint="-0.34998626667073579"/>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style="thin">
        <color theme="0" tint="-0.34998626667073579"/>
      </top>
      <bottom style="medium">
        <color rgb="FF7030A0"/>
      </bottom>
      <diagonal/>
    </border>
    <border>
      <left style="thin">
        <color theme="0" tint="-0.34998626667073579"/>
      </left>
      <right/>
      <top style="medium">
        <color rgb="FF7030A0"/>
      </top>
      <bottom style="thin">
        <color theme="0" tint="-0.34998626667073579"/>
      </bottom>
      <diagonal/>
    </border>
    <border>
      <left/>
      <right style="medium">
        <color rgb="FF7030A0"/>
      </right>
      <top style="medium">
        <color rgb="FF7030A0"/>
      </top>
      <bottom style="thin">
        <color theme="0" tint="-0.34998626667073579"/>
      </bottom>
      <diagonal/>
    </border>
    <border>
      <left style="thin">
        <color theme="0" tint="-0.34998626667073579"/>
      </left>
      <right/>
      <top style="thin">
        <color theme="0" tint="-0.34998626667073579"/>
      </top>
      <bottom style="medium">
        <color rgb="FF7030A0"/>
      </bottom>
      <diagonal/>
    </border>
    <border>
      <left/>
      <right style="medium">
        <color rgb="FF7030A0"/>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7030A0"/>
      </right>
      <top/>
      <bottom style="hair">
        <color theme="0" tint="-0.499984740745262"/>
      </bottom>
      <diagonal/>
    </border>
    <border>
      <left style="medium">
        <color rgb="FF7030A0"/>
      </left>
      <right style="hair">
        <color theme="0" tint="-0.499984740745262"/>
      </right>
      <top style="hair">
        <color theme="0" tint="-0.499984740745262"/>
      </top>
      <bottom/>
      <diagonal/>
    </border>
    <border>
      <left style="medium">
        <color rgb="FF7030A0"/>
      </left>
      <right style="hair">
        <color theme="0" tint="-0.499984740745262"/>
      </right>
      <top/>
      <bottom/>
      <diagonal/>
    </border>
    <border>
      <left style="medium">
        <color rgb="FF7030A0"/>
      </left>
      <right style="hair">
        <color theme="0" tint="-0.499984740745262"/>
      </right>
      <top/>
      <bottom style="hair">
        <color theme="0" tint="-0.499984740745262"/>
      </bottom>
      <diagonal/>
    </border>
    <border>
      <left style="medium">
        <color rgb="FF7030A0"/>
      </left>
      <right style="hair">
        <color theme="0" tint="-0.499984740745262"/>
      </right>
      <top/>
      <bottom style="medium">
        <color rgb="FF7030A0"/>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medium">
        <color rgb="FF7030A0"/>
      </bottom>
      <diagonal/>
    </border>
    <border>
      <left style="hair">
        <color theme="0" tint="-0.499984740745262"/>
      </left>
      <right style="medium">
        <color rgb="FF7030A0"/>
      </right>
      <top/>
      <bottom style="medium">
        <color rgb="FF7030A0"/>
      </bottom>
      <diagonal/>
    </border>
    <border>
      <left style="hair">
        <color theme="0" tint="-0.499984740745262"/>
      </left>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top style="thick">
        <color theme="0" tint="-0.499984740745262"/>
      </top>
      <bottom style="thick">
        <color theme="0" tint="-0.499984740745262"/>
      </bottom>
      <diagonal/>
    </border>
    <border>
      <left style="thin">
        <color theme="0" tint="-0.499984740745262"/>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style="thin">
        <color theme="0" tint="-0.34998626667073579"/>
      </bottom>
      <diagonal/>
    </border>
    <border>
      <left style="thick">
        <color theme="0" tint="-0.499984740745262"/>
      </left>
      <right style="thick">
        <color theme="0" tint="-0.499984740745262"/>
      </right>
      <top style="thin">
        <color theme="0" tint="-0.34998626667073579"/>
      </top>
      <bottom style="thick">
        <color theme="0" tint="-0.499984740745262"/>
      </bottom>
      <diagonal/>
    </border>
    <border>
      <left style="thick">
        <color theme="0" tint="-0.499984740745262"/>
      </left>
      <right style="thick">
        <color theme="0" tint="-0.499984740745262"/>
      </right>
      <top style="thin">
        <color theme="0" tint="-0.34998626667073579"/>
      </top>
      <bottom/>
      <diagonal/>
    </border>
    <border>
      <left/>
      <right/>
      <top style="thick">
        <color theme="0" tint="-0.499984740745262"/>
      </top>
      <bottom style="thick">
        <color theme="0" tint="-0.499984740745262"/>
      </bottom>
      <diagonal/>
    </border>
    <border>
      <left style="thin">
        <color theme="0" tint="-0.499984740745262"/>
      </left>
      <right style="thick">
        <color theme="0" tint="-0.499984740745262"/>
      </right>
      <top style="thick">
        <color theme="0" tint="-0.499984740745262"/>
      </top>
      <bottom style="thick">
        <color theme="0" tint="-0.499984740745262"/>
      </bottom>
      <diagonal/>
    </border>
    <border>
      <left/>
      <right style="thin">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style="thick">
        <color theme="0" tint="-0.499984740745262"/>
      </top>
      <bottom style="thick">
        <color theme="0" tint="-0.499984740745262"/>
      </bottom>
      <diagonal/>
    </border>
    <border>
      <left style="thick">
        <color theme="0" tint="-0.499984740745262"/>
      </left>
      <right/>
      <top style="hair">
        <color theme="0" tint="-0.499984740745262"/>
      </top>
      <bottom/>
      <diagonal/>
    </border>
    <border>
      <left style="thick">
        <color theme="0" tint="-0.499984740745262"/>
      </left>
      <right/>
      <top/>
      <bottom/>
      <diagonal/>
    </border>
    <border>
      <left style="thick">
        <color theme="0" tint="-0.499984740745262"/>
      </left>
      <right/>
      <top style="hair">
        <color theme="0" tint="-0.499984740745262"/>
      </top>
      <bottom style="hair">
        <color theme="0" tint="-0.499984740745262"/>
      </bottom>
      <diagonal/>
    </border>
    <border>
      <left style="thick">
        <color theme="0" tint="-0.499984740745262"/>
      </left>
      <right/>
      <top/>
      <bottom style="thin">
        <color theme="0" tint="-0.499984740745262"/>
      </bottom>
      <diagonal/>
    </border>
    <border>
      <left style="thick">
        <color theme="0" tint="-0.499984740745262"/>
      </left>
      <right/>
      <top/>
      <bottom style="hair">
        <color theme="0" tint="-0.499984740745262"/>
      </bottom>
      <diagonal/>
    </border>
    <border>
      <left/>
      <right/>
      <top style="thick">
        <color theme="0" tint="-0.499984740745262"/>
      </top>
      <bottom/>
      <diagonal/>
    </border>
    <border>
      <left style="medium">
        <color rgb="FF7030A0"/>
      </left>
      <right/>
      <top style="medium">
        <color rgb="FF7030A0"/>
      </top>
      <bottom style="hair">
        <color theme="0" tint="-0.499984740745262"/>
      </bottom>
      <diagonal/>
    </border>
    <border>
      <left/>
      <right/>
      <top style="medium">
        <color rgb="FF7030A0"/>
      </top>
      <bottom style="hair">
        <color theme="0" tint="-0.499984740745262"/>
      </bottom>
      <diagonal/>
    </border>
    <border>
      <left/>
      <right style="medium">
        <color rgb="FF7030A0"/>
      </right>
      <top style="medium">
        <color rgb="FF7030A0"/>
      </top>
      <bottom style="hair">
        <color theme="0" tint="-0.499984740745262"/>
      </bottom>
      <diagonal/>
    </border>
    <border>
      <left style="thick">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hair">
        <color indexed="64"/>
      </left>
      <right style="hair">
        <color indexed="64"/>
      </right>
      <top style="hair">
        <color indexed="64"/>
      </top>
      <bottom style="hair">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237">
    <xf numFmtId="0" fontId="0" fillId="0" borderId="0" xfId="0"/>
    <xf numFmtId="0" fontId="7" fillId="3" borderId="0" xfId="0" applyFont="1" applyFill="1"/>
    <xf numFmtId="0" fontId="0" fillId="3" borderId="0" xfId="0" applyFill="1"/>
    <xf numFmtId="0" fontId="0" fillId="3" borderId="0" xfId="0" applyFill="1" applyAlignment="1">
      <alignment vertical="center"/>
    </xf>
    <xf numFmtId="0" fontId="2" fillId="3" borderId="0" xfId="0" applyFont="1" applyFill="1" applyAlignment="1">
      <alignment wrapText="1"/>
    </xf>
    <xf numFmtId="0" fontId="2" fillId="3" borderId="0" xfId="0" applyFont="1" applyFill="1"/>
    <xf numFmtId="0" fontId="0" fillId="3" borderId="0" xfId="0" applyFill="1" applyAlignment="1">
      <alignment wrapText="1"/>
    </xf>
    <xf numFmtId="0" fontId="0" fillId="3" borderId="0" xfId="0" applyFill="1" applyAlignment="1">
      <alignment horizontal="left" wrapText="1"/>
    </xf>
    <xf numFmtId="168" fontId="0" fillId="3" borderId="0" xfId="0" applyNumberFormat="1" applyFill="1" applyAlignment="1">
      <alignment horizontal="right"/>
    </xf>
    <xf numFmtId="170" fontId="0" fillId="3" borderId="0" xfId="0" applyNumberFormat="1" applyFill="1" applyAlignment="1">
      <alignment horizontal="right" wrapText="1"/>
    </xf>
    <xf numFmtId="171" fontId="0" fillId="3" borderId="0" xfId="0" applyNumberFormat="1" applyFill="1" applyAlignment="1">
      <alignment wrapText="1"/>
    </xf>
    <xf numFmtId="169" fontId="6" fillId="3" borderId="0" xfId="0" applyNumberFormat="1" applyFont="1" applyFill="1" applyAlignment="1">
      <alignment horizontal="right" wrapText="1"/>
    </xf>
    <xf numFmtId="0" fontId="6" fillId="3" borderId="0" xfId="0" applyFont="1" applyFill="1"/>
    <xf numFmtId="0" fontId="8" fillId="3" borderId="0" xfId="0" applyFont="1" applyFill="1"/>
    <xf numFmtId="2" fontId="0" fillId="3" borderId="0" xfId="0" applyNumberFormat="1" applyFill="1" applyAlignment="1">
      <alignment horizontal="center"/>
    </xf>
    <xf numFmtId="0" fontId="0" fillId="3" borderId="0" xfId="0" applyFill="1" applyBorder="1"/>
    <xf numFmtId="49" fontId="0" fillId="3" borderId="7" xfId="0" applyNumberFormat="1" applyFill="1" applyBorder="1" applyAlignment="1">
      <alignment horizontal="center" vertical="center" wrapText="1"/>
    </xf>
    <xf numFmtId="168" fontId="0" fillId="3" borderId="0" xfId="0" applyNumberFormat="1" applyFill="1" applyBorder="1" applyAlignment="1">
      <alignment horizontal="right"/>
    </xf>
    <xf numFmtId="0" fontId="0" fillId="3" borderId="7" xfId="0" applyFill="1" applyBorder="1" applyAlignment="1">
      <alignment horizontal="right" wrapText="1"/>
    </xf>
    <xf numFmtId="49" fontId="0" fillId="3" borderId="7" xfId="0" applyNumberFormat="1" applyFill="1" applyBorder="1" applyAlignment="1">
      <alignment horizontal="left" vertical="center" wrapText="1"/>
    </xf>
    <xf numFmtId="0" fontId="11" fillId="3" borderId="0" xfId="0" applyFont="1" applyFill="1" applyAlignment="1">
      <alignment vertical="center"/>
    </xf>
    <xf numFmtId="9" fontId="0" fillId="3" borderId="0" xfId="0" applyNumberFormat="1" applyFill="1"/>
    <xf numFmtId="9" fontId="0" fillId="3" borderId="0" xfId="3" applyFont="1" applyFill="1" applyBorder="1" applyAlignment="1">
      <alignment horizontal="left"/>
    </xf>
    <xf numFmtId="0" fontId="0" fillId="3" borderId="0" xfId="0" applyFill="1" applyAlignment="1">
      <alignment horizontal="right"/>
    </xf>
    <xf numFmtId="165" fontId="0" fillId="3" borderId="0" xfId="0" applyNumberFormat="1" applyFill="1"/>
    <xf numFmtId="0" fontId="0" fillId="3" borderId="10" xfId="0" applyFill="1" applyBorder="1"/>
    <xf numFmtId="0" fontId="0" fillId="3" borderId="11" xfId="0" applyFill="1" applyBorder="1"/>
    <xf numFmtId="0" fontId="0" fillId="3" borderId="12" xfId="0" applyFill="1" applyBorder="1"/>
    <xf numFmtId="0" fontId="4" fillId="3" borderId="0" xfId="0" applyFont="1" applyFill="1" applyAlignment="1"/>
    <xf numFmtId="0" fontId="0" fillId="3" borderId="16" xfId="0" applyFill="1" applyBorder="1"/>
    <xf numFmtId="0" fontId="0" fillId="3" borderId="0" xfId="0" applyFill="1" applyBorder="1" applyAlignment="1">
      <alignment wrapText="1"/>
    </xf>
    <xf numFmtId="0" fontId="0" fillId="3" borderId="0" xfId="0" applyFill="1" applyBorder="1" applyAlignment="1">
      <alignment horizontal="center"/>
    </xf>
    <xf numFmtId="0" fontId="0" fillId="0" borderId="0" xfId="0" applyFill="1" applyBorder="1" applyAlignment="1">
      <alignment horizontal="center"/>
    </xf>
    <xf numFmtId="0" fontId="2" fillId="3" borderId="17" xfId="0" applyFont="1" applyFill="1" applyBorder="1" applyAlignment="1">
      <alignment horizontal="center" wrapText="1"/>
    </xf>
    <xf numFmtId="0" fontId="2" fillId="3" borderId="0" xfId="0" applyFont="1" applyFill="1" applyBorder="1" applyAlignment="1">
      <alignment horizontal="center"/>
    </xf>
    <xf numFmtId="0" fontId="2" fillId="3" borderId="17" xfId="0" applyFont="1" applyFill="1" applyBorder="1" applyAlignment="1">
      <alignment horizontal="center"/>
    </xf>
    <xf numFmtId="0" fontId="12" fillId="3" borderId="0" xfId="0" applyFont="1" applyFill="1"/>
    <xf numFmtId="9" fontId="0" fillId="3" borderId="0" xfId="3" applyFont="1" applyFill="1"/>
    <xf numFmtId="0" fontId="0" fillId="3" borderId="0" xfId="0" applyFill="1" applyAlignment="1">
      <alignment horizontal="center"/>
    </xf>
    <xf numFmtId="0" fontId="0" fillId="3" borderId="17" xfId="0" applyFont="1" applyFill="1" applyBorder="1" applyAlignment="1">
      <alignment horizontal="center" wrapText="1"/>
    </xf>
    <xf numFmtId="0" fontId="4" fillId="3" borderId="0" xfId="0" applyFont="1" applyFill="1"/>
    <xf numFmtId="0" fontId="0" fillId="3" borderId="20" xfId="0" applyFont="1" applyFill="1" applyBorder="1" applyAlignment="1">
      <alignment horizontal="center" wrapText="1"/>
    </xf>
    <xf numFmtId="0" fontId="2" fillId="3" borderId="0" xfId="0" applyFont="1" applyFill="1" applyBorder="1" applyAlignment="1">
      <alignment horizontal="left" vertical="center"/>
    </xf>
    <xf numFmtId="9" fontId="0" fillId="3" borderId="17" xfId="3" applyFont="1" applyFill="1" applyBorder="1" applyAlignment="1">
      <alignment horizontal="center"/>
    </xf>
    <xf numFmtId="9" fontId="0" fillId="3" borderId="26" xfId="3" applyFont="1" applyFill="1" applyBorder="1" applyAlignment="1">
      <alignment horizontal="left"/>
    </xf>
    <xf numFmtId="9" fontId="0" fillId="3" borderId="25" xfId="3" applyFont="1" applyFill="1" applyBorder="1" applyAlignment="1">
      <alignment horizontal="left"/>
    </xf>
    <xf numFmtId="0" fontId="3" fillId="3" borderId="0" xfId="0" applyFont="1" applyFill="1"/>
    <xf numFmtId="0" fontId="0" fillId="0" borderId="8" xfId="0" applyFill="1" applyBorder="1" applyAlignment="1">
      <alignment horizontal="center"/>
    </xf>
    <xf numFmtId="0" fontId="0" fillId="3" borderId="9" xfId="0" applyFill="1" applyBorder="1" applyAlignment="1">
      <alignment horizontal="center"/>
    </xf>
    <xf numFmtId="0" fontId="0" fillId="3" borderId="27" xfId="0" applyFont="1" applyFill="1" applyBorder="1" applyAlignment="1">
      <alignment horizontal="center" wrapText="1"/>
    </xf>
    <xf numFmtId="0" fontId="12" fillId="3" borderId="29" xfId="0" applyFont="1" applyFill="1" applyBorder="1" applyAlignment="1">
      <alignment horizontal="right"/>
    </xf>
    <xf numFmtId="0" fontId="2" fillId="3" borderId="28" xfId="0" applyFont="1" applyFill="1" applyBorder="1"/>
    <xf numFmtId="0" fontId="0" fillId="3" borderId="29" xfId="0" applyFill="1" applyBorder="1"/>
    <xf numFmtId="0" fontId="0" fillId="3" borderId="30" xfId="0" applyFill="1" applyBorder="1"/>
    <xf numFmtId="0" fontId="2" fillId="3" borderId="29" xfId="0" applyFont="1" applyFill="1" applyBorder="1"/>
    <xf numFmtId="0" fontId="0" fillId="3" borderId="29" xfId="0" applyFont="1" applyFill="1" applyBorder="1"/>
    <xf numFmtId="9" fontId="12" fillId="3" borderId="33" xfId="0" applyNumberFormat="1" applyFont="1" applyFill="1" applyBorder="1" applyAlignment="1">
      <alignment horizontal="center" wrapText="1"/>
    </xf>
    <xf numFmtId="0" fontId="2" fillId="3" borderId="32" xfId="0" applyFont="1" applyFill="1" applyBorder="1" applyAlignment="1">
      <alignment horizontal="center"/>
    </xf>
    <xf numFmtId="0" fontId="0" fillId="3" borderId="33" xfId="0" applyFill="1" applyBorder="1" applyAlignment="1">
      <alignment horizontal="center"/>
    </xf>
    <xf numFmtId="0" fontId="0" fillId="3" borderId="34" xfId="0" applyFill="1" applyBorder="1" applyAlignment="1">
      <alignment horizontal="center"/>
    </xf>
    <xf numFmtId="0" fontId="2" fillId="3" borderId="33" xfId="0" applyFont="1" applyFill="1" applyBorder="1" applyAlignment="1">
      <alignment horizontal="center"/>
    </xf>
    <xf numFmtId="0" fontId="0" fillId="3" borderId="33" xfId="0" applyFont="1" applyFill="1" applyBorder="1" applyAlignment="1">
      <alignment horizontal="center"/>
    </xf>
    <xf numFmtId="9" fontId="12" fillId="3" borderId="34" xfId="0" applyNumberFormat="1" applyFont="1" applyFill="1" applyBorder="1" applyAlignment="1">
      <alignment horizontal="center" wrapText="1"/>
    </xf>
    <xf numFmtId="0" fontId="2" fillId="3" borderId="33" xfId="0" applyFont="1" applyFill="1" applyBorder="1" applyAlignment="1">
      <alignment horizontal="center" wrapText="1"/>
    </xf>
    <xf numFmtId="0" fontId="2" fillId="3" borderId="37" xfId="0" applyFont="1" applyFill="1" applyBorder="1" applyAlignment="1">
      <alignment horizontal="center"/>
    </xf>
    <xf numFmtId="173" fontId="12" fillId="3" borderId="33" xfId="0" applyNumberFormat="1" applyFont="1" applyFill="1" applyBorder="1" applyAlignment="1">
      <alignment horizontal="center" wrapText="1"/>
    </xf>
    <xf numFmtId="173" fontId="12" fillId="3" borderId="17" xfId="0" applyNumberFormat="1" applyFont="1" applyFill="1" applyBorder="1" applyAlignment="1">
      <alignment horizontal="center" wrapText="1"/>
    </xf>
    <xf numFmtId="0" fontId="0" fillId="3" borderId="31" xfId="0" applyFill="1" applyBorder="1" applyAlignment="1">
      <alignment vertical="top"/>
    </xf>
    <xf numFmtId="0" fontId="0" fillId="3" borderId="35" xfId="0" applyFill="1" applyBorder="1" applyAlignment="1">
      <alignment horizontal="center" vertical="top"/>
    </xf>
    <xf numFmtId="0" fontId="0" fillId="3" borderId="19" xfId="0" applyFill="1" applyBorder="1" applyAlignment="1">
      <alignment horizontal="center" vertical="top"/>
    </xf>
    <xf numFmtId="0" fontId="0" fillId="3" borderId="36" xfId="0" applyFill="1" applyBorder="1" applyAlignment="1">
      <alignment horizontal="center" vertical="top"/>
    </xf>
    <xf numFmtId="0" fontId="0" fillId="3" borderId="0" xfId="0" applyFill="1" applyBorder="1" applyAlignment="1">
      <alignment vertical="top"/>
    </xf>
    <xf numFmtId="0" fontId="0" fillId="3" borderId="0" xfId="0" applyFill="1" applyBorder="1" applyAlignment="1">
      <alignment horizontal="center" vertical="top"/>
    </xf>
    <xf numFmtId="0" fontId="0" fillId="3" borderId="0" xfId="0" applyFill="1" applyAlignment="1">
      <alignment horizontal="left"/>
    </xf>
    <xf numFmtId="0" fontId="2" fillId="3" borderId="0" xfId="0" applyFont="1" applyFill="1" applyBorder="1"/>
    <xf numFmtId="0" fontId="7" fillId="3" borderId="0" xfId="0" applyFont="1" applyFill="1" applyAlignment="1">
      <alignment horizontal="left"/>
    </xf>
    <xf numFmtId="0" fontId="0" fillId="3" borderId="0" xfId="0" quotePrefix="1" applyFill="1"/>
    <xf numFmtId="44" fontId="0" fillId="3" borderId="0" xfId="1" applyFont="1" applyFill="1"/>
    <xf numFmtId="6" fontId="4" fillId="3" borderId="0" xfId="0" applyNumberFormat="1" applyFont="1" applyFill="1"/>
    <xf numFmtId="0" fontId="5" fillId="3" borderId="0" xfId="0" applyFont="1" applyFill="1"/>
    <xf numFmtId="6" fontId="0" fillId="3" borderId="0" xfId="0" applyNumberFormat="1" applyFill="1"/>
    <xf numFmtId="166" fontId="0" fillId="3" borderId="4" xfId="0" applyNumberFormat="1" applyFill="1" applyBorder="1"/>
    <xf numFmtId="0" fontId="2" fillId="3" borderId="5" xfId="0" applyFont="1" applyFill="1" applyBorder="1"/>
    <xf numFmtId="0" fontId="0" fillId="3" borderId="5" xfId="0" applyFill="1" applyBorder="1"/>
    <xf numFmtId="0" fontId="4" fillId="3" borderId="5" xfId="0" applyFont="1" applyFill="1" applyBorder="1"/>
    <xf numFmtId="6" fontId="4" fillId="3" borderId="5" xfId="0" applyNumberFormat="1" applyFont="1" applyFill="1" applyBorder="1"/>
    <xf numFmtId="0" fontId="0" fillId="3" borderId="27" xfId="0" applyFill="1" applyBorder="1" applyAlignment="1">
      <alignment horizontal="center"/>
    </xf>
    <xf numFmtId="0" fontId="12" fillId="3" borderId="30" xfId="0" applyFont="1" applyFill="1" applyBorder="1" applyAlignment="1">
      <alignment horizontal="right"/>
    </xf>
    <xf numFmtId="0" fontId="2" fillId="3" borderId="29" xfId="0" applyFont="1" applyFill="1" applyBorder="1" applyAlignment="1">
      <alignment wrapText="1"/>
    </xf>
    <xf numFmtId="0" fontId="0" fillId="3" borderId="31" xfId="0" applyFill="1" applyBorder="1"/>
    <xf numFmtId="0" fontId="12" fillId="3" borderId="34" xfId="3" applyNumberFormat="1" applyFont="1" applyFill="1" applyBorder="1" applyAlignment="1">
      <alignment horizontal="center" wrapText="1"/>
    </xf>
    <xf numFmtId="0" fontId="0" fillId="3" borderId="35" xfId="0" applyFill="1" applyBorder="1" applyAlignment="1">
      <alignment horizontal="center"/>
    </xf>
    <xf numFmtId="166" fontId="8" fillId="3" borderId="15" xfId="1" applyNumberFormat="1" applyFont="1" applyFill="1" applyBorder="1" applyAlignment="1">
      <alignment horizontal="center" vertical="center"/>
    </xf>
    <xf numFmtId="167" fontId="2" fillId="3" borderId="17" xfId="2" applyNumberFormat="1" applyFont="1" applyFill="1" applyBorder="1" applyAlignment="1">
      <alignment horizontal="center" vertical="center"/>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167" fontId="2" fillId="3" borderId="20" xfId="2" applyNumberFormat="1" applyFont="1" applyFill="1" applyBorder="1" applyAlignment="1">
      <alignment horizontal="center" vertical="center"/>
    </xf>
    <xf numFmtId="0" fontId="2" fillId="3" borderId="0" xfId="0" applyFont="1" applyFill="1" applyAlignment="1">
      <alignment horizontal="center" wrapText="1"/>
    </xf>
    <xf numFmtId="0" fontId="0" fillId="3" borderId="38" xfId="0" applyFill="1" applyBorder="1" applyAlignment="1">
      <alignment wrapText="1"/>
    </xf>
    <xf numFmtId="0" fontId="0" fillId="3" borderId="38" xfId="0" applyFill="1" applyBorder="1" applyAlignment="1">
      <alignment horizontal="center"/>
    </xf>
    <xf numFmtId="0" fontId="0" fillId="3" borderId="38" xfId="0" applyFill="1" applyBorder="1"/>
    <xf numFmtId="0" fontId="0" fillId="3" borderId="39" xfId="0" applyFill="1" applyBorder="1" applyAlignment="1">
      <alignment wrapText="1"/>
    </xf>
    <xf numFmtId="0" fontId="0" fillId="3" borderId="39" xfId="0" applyFill="1" applyBorder="1" applyAlignment="1">
      <alignment horizontal="center"/>
    </xf>
    <xf numFmtId="0" fontId="0" fillId="3" borderId="39" xfId="0" applyFill="1" applyBorder="1"/>
    <xf numFmtId="49" fontId="0" fillId="3" borderId="38" xfId="0" applyNumberFormat="1" applyFill="1" applyBorder="1" applyAlignment="1">
      <alignment vertical="center" wrapText="1"/>
    </xf>
    <xf numFmtId="168" fontId="0" fillId="3" borderId="38" xfId="0" applyNumberFormat="1" applyFill="1" applyBorder="1" applyAlignment="1">
      <alignment horizontal="right"/>
    </xf>
    <xf numFmtId="169" fontId="0" fillId="3" borderId="38" xfId="0" applyNumberFormat="1" applyFill="1" applyBorder="1" applyAlignment="1">
      <alignment wrapText="1"/>
    </xf>
    <xf numFmtId="0" fontId="0" fillId="3" borderId="38" xfId="0" applyFill="1" applyBorder="1" applyAlignment="1">
      <alignment horizontal="right" wrapText="1"/>
    </xf>
    <xf numFmtId="172" fontId="6" fillId="3" borderId="38" xfId="0" applyNumberFormat="1" applyFont="1" applyFill="1" applyBorder="1" applyAlignment="1">
      <alignment horizontal="right" wrapText="1"/>
    </xf>
    <xf numFmtId="0" fontId="6" fillId="3" borderId="38" xfId="0" applyFont="1" applyFill="1" applyBorder="1" applyAlignment="1">
      <alignment horizontal="right" wrapText="1"/>
    </xf>
    <xf numFmtId="0" fontId="6" fillId="3" borderId="38" xfId="0" applyFont="1" applyFill="1" applyBorder="1"/>
    <xf numFmtId="0" fontId="0" fillId="3" borderId="40" xfId="0" applyFill="1" applyBorder="1" applyAlignment="1">
      <alignment horizontal="center"/>
    </xf>
    <xf numFmtId="0" fontId="0" fillId="3" borderId="38" xfId="0" applyFill="1" applyBorder="1" applyAlignment="1">
      <alignment horizontal="center" wrapText="1"/>
    </xf>
    <xf numFmtId="2" fontId="0" fillId="3" borderId="39" xfId="0" applyNumberFormat="1" applyFill="1" applyBorder="1" applyAlignment="1">
      <alignment horizontal="center"/>
    </xf>
    <xf numFmtId="0" fontId="0" fillId="3" borderId="0" xfId="0" applyFill="1" applyAlignment="1">
      <alignment horizontal="center" wrapText="1"/>
    </xf>
    <xf numFmtId="0" fontId="0" fillId="3" borderId="0" xfId="0" applyFill="1" applyBorder="1" applyAlignment="1">
      <alignment horizontal="center" wrapText="1"/>
    </xf>
    <xf numFmtId="2" fontId="0" fillId="3" borderId="0" xfId="0" applyNumberFormat="1" applyFill="1" applyBorder="1" applyAlignment="1">
      <alignment horizontal="center"/>
    </xf>
    <xf numFmtId="0" fontId="4" fillId="3" borderId="0" xfId="0" applyFont="1" applyFill="1" applyBorder="1" applyAlignment="1">
      <alignment horizontal="center"/>
    </xf>
    <xf numFmtId="0" fontId="2" fillId="3" borderId="0" xfId="0" applyFont="1" applyFill="1" applyBorder="1" applyAlignment="1">
      <alignment wrapText="1"/>
    </xf>
    <xf numFmtId="2" fontId="0" fillId="3" borderId="53" xfId="0" applyNumberFormat="1" applyFill="1" applyBorder="1" applyAlignment="1">
      <alignment horizontal="center"/>
    </xf>
    <xf numFmtId="2" fontId="0" fillId="3" borderId="38" xfId="0" applyNumberFormat="1" applyFill="1" applyBorder="1" applyAlignment="1">
      <alignment horizontal="center"/>
    </xf>
    <xf numFmtId="0" fontId="0" fillId="3" borderId="58" xfId="0" applyFill="1" applyBorder="1" applyAlignment="1">
      <alignment horizontal="center" wrapText="1"/>
    </xf>
    <xf numFmtId="0" fontId="0" fillId="3" borderId="54" xfId="0" applyFill="1" applyBorder="1" applyAlignment="1">
      <alignment horizontal="left"/>
    </xf>
    <xf numFmtId="0" fontId="0" fillId="3" borderId="55" xfId="0" applyFill="1" applyBorder="1" applyAlignment="1">
      <alignment horizontal="left"/>
    </xf>
    <xf numFmtId="0" fontId="0" fillId="3" borderId="0" xfId="0" applyFill="1" applyBorder="1" applyAlignment="1">
      <alignment horizontal="left"/>
    </xf>
    <xf numFmtId="2" fontId="0" fillId="3" borderId="57" xfId="0" applyNumberFormat="1" applyFill="1" applyBorder="1" applyAlignment="1">
      <alignment horizontal="left"/>
    </xf>
    <xf numFmtId="2" fontId="0" fillId="3" borderId="53" xfId="0" applyNumberFormat="1" applyFill="1" applyBorder="1" applyAlignment="1">
      <alignment horizontal="left"/>
    </xf>
    <xf numFmtId="2" fontId="0" fillId="3" borderId="56" xfId="0" applyNumberFormat="1" applyFill="1" applyBorder="1" applyAlignment="1">
      <alignment horizontal="left"/>
    </xf>
    <xf numFmtId="2" fontId="0" fillId="3" borderId="0" xfId="0" applyNumberFormat="1" applyFill="1" applyBorder="1" applyAlignment="1">
      <alignment horizontal="left"/>
    </xf>
    <xf numFmtId="2" fontId="0" fillId="3" borderId="55" xfId="0" applyNumberFormat="1" applyFill="1" applyBorder="1" applyAlignment="1">
      <alignment horizontal="left"/>
    </xf>
    <xf numFmtId="0" fontId="2" fillId="3" borderId="17" xfId="0" applyFont="1" applyFill="1" applyBorder="1" applyAlignment="1">
      <alignment wrapText="1"/>
    </xf>
    <xf numFmtId="0" fontId="4" fillId="3" borderId="20" xfId="0" applyFont="1" applyFill="1" applyBorder="1" applyAlignment="1">
      <alignment horizontal="center" vertical="top"/>
    </xf>
    <xf numFmtId="0" fontId="2" fillId="3" borderId="28" xfId="0" applyFont="1" applyFill="1" applyBorder="1" applyAlignment="1">
      <alignment wrapText="1"/>
    </xf>
    <xf numFmtId="0" fontId="4" fillId="3" borderId="31" xfId="0" applyFont="1" applyFill="1" applyBorder="1" applyAlignment="1">
      <alignment horizontal="center" vertical="top"/>
    </xf>
    <xf numFmtId="0" fontId="2" fillId="3" borderId="32" xfId="0" applyFont="1" applyFill="1" applyBorder="1" applyAlignment="1">
      <alignment wrapText="1"/>
    </xf>
    <xf numFmtId="0" fontId="4" fillId="3" borderId="35" xfId="0" applyFont="1" applyFill="1" applyBorder="1" applyAlignment="1">
      <alignment horizontal="center" vertical="top"/>
    </xf>
    <xf numFmtId="0" fontId="8" fillId="2" borderId="42" xfId="0" applyFont="1" applyFill="1" applyBorder="1" applyProtection="1">
      <protection locked="0"/>
    </xf>
    <xf numFmtId="0" fontId="4" fillId="2" borderId="62" xfId="0" applyFont="1" applyFill="1" applyBorder="1" applyAlignment="1" applyProtection="1">
      <protection locked="0"/>
    </xf>
    <xf numFmtId="0" fontId="4" fillId="2" borderId="43" xfId="0" applyFont="1" applyFill="1" applyBorder="1" applyAlignment="1" applyProtection="1">
      <protection locked="0"/>
    </xf>
    <xf numFmtId="0" fontId="4" fillId="2" borderId="43" xfId="0" applyFont="1" applyFill="1" applyBorder="1" applyAlignment="1" applyProtection="1">
      <alignment vertical="center"/>
      <protection locked="0"/>
    </xf>
    <xf numFmtId="0" fontId="2" fillId="2" borderId="49" xfId="0" applyFont="1" applyFill="1" applyBorder="1" applyAlignment="1" applyProtection="1">
      <alignment horizontal="center"/>
      <protection locked="0"/>
    </xf>
    <xf numFmtId="0" fontId="2" fillId="2" borderId="44" xfId="0" applyFont="1" applyFill="1" applyBorder="1" applyAlignment="1" applyProtection="1">
      <alignment horizontal="center"/>
      <protection locked="0"/>
    </xf>
    <xf numFmtId="0" fontId="2" fillId="2" borderId="50" xfId="0" applyFont="1" applyFill="1" applyBorder="1" applyAlignment="1" applyProtection="1">
      <alignment horizontal="center"/>
      <protection locked="0"/>
    </xf>
    <xf numFmtId="0" fontId="2" fillId="2" borderId="52" xfId="0" applyFont="1" applyFill="1" applyBorder="1" applyAlignment="1" applyProtection="1">
      <alignment horizontal="center"/>
      <protection locked="0"/>
    </xf>
    <xf numFmtId="0" fontId="2" fillId="2" borderId="51" xfId="0" applyFont="1" applyFill="1" applyBorder="1" applyAlignment="1" applyProtection="1">
      <alignment horizontal="center"/>
      <protection locked="0"/>
    </xf>
    <xf numFmtId="0" fontId="2" fillId="2" borderId="45" xfId="0" applyFont="1" applyFill="1" applyBorder="1" applyAlignment="1" applyProtection="1">
      <alignment horizontal="center"/>
      <protection locked="0"/>
    </xf>
    <xf numFmtId="2" fontId="17" fillId="3" borderId="0" xfId="0" applyNumberFormat="1" applyFont="1" applyFill="1" applyBorder="1" applyAlignment="1" applyProtection="1">
      <alignment horizontal="center"/>
    </xf>
    <xf numFmtId="0" fontId="17" fillId="3" borderId="0" xfId="0" applyFont="1" applyFill="1" applyProtection="1"/>
    <xf numFmtId="0" fontId="2" fillId="0" borderId="41" xfId="0" applyFont="1" applyFill="1" applyBorder="1" applyAlignment="1">
      <alignment horizontal="center"/>
    </xf>
    <xf numFmtId="0" fontId="0" fillId="2" borderId="41" xfId="0" applyFill="1" applyBorder="1" applyAlignment="1">
      <alignment horizontal="center"/>
    </xf>
    <xf numFmtId="0" fontId="0" fillId="3" borderId="63" xfId="0" applyFill="1" applyBorder="1"/>
    <xf numFmtId="0" fontId="4" fillId="3" borderId="0" xfId="0" applyFont="1" applyFill="1" applyBorder="1"/>
    <xf numFmtId="6" fontId="4" fillId="3" borderId="0" xfId="0" applyNumberFormat="1" applyFont="1" applyFill="1" applyBorder="1"/>
    <xf numFmtId="9" fontId="0" fillId="2" borderId="1" xfId="0" applyNumberFormat="1" applyFill="1" applyBorder="1" applyProtection="1">
      <protection locked="0"/>
    </xf>
    <xf numFmtId="0" fontId="0" fillId="2" borderId="5" xfId="0" applyFill="1" applyBorder="1" applyProtection="1">
      <protection locked="0"/>
    </xf>
    <xf numFmtId="0" fontId="0" fillId="2" borderId="5" xfId="0" applyFill="1" applyBorder="1" applyAlignment="1" applyProtection="1">
      <alignment wrapText="1"/>
      <protection locked="0"/>
    </xf>
    <xf numFmtId="0" fontId="0" fillId="2" borderId="5" xfId="0" applyFill="1" applyBorder="1" applyAlignment="1" applyProtection="1">
      <alignment horizontal="left" wrapText="1"/>
      <protection locked="0"/>
    </xf>
    <xf numFmtId="6" fontId="0" fillId="2" borderId="5" xfId="0" applyNumberFormat="1" applyFill="1" applyBorder="1" applyProtection="1">
      <protection locked="0"/>
    </xf>
    <xf numFmtId="0" fontId="6" fillId="2" borderId="5" xfId="0" applyFont="1" applyFill="1" applyBorder="1" applyAlignment="1" applyProtection="1">
      <alignment wrapText="1"/>
      <protection locked="0"/>
    </xf>
    <xf numFmtId="6" fontId="6" fillId="2" borderId="5" xfId="0" applyNumberFormat="1" applyFont="1" applyFill="1" applyBorder="1" applyProtection="1">
      <protection locked="0"/>
    </xf>
    <xf numFmtId="6" fontId="0" fillId="2" borderId="5" xfId="0" applyNumberFormat="1" applyFill="1" applyBorder="1" applyAlignment="1" applyProtection="1">
      <alignment horizontal="left"/>
      <protection locked="0"/>
    </xf>
    <xf numFmtId="167" fontId="2" fillId="3" borderId="17" xfId="2" applyNumberFormat="1" applyFont="1" applyFill="1" applyBorder="1" applyAlignment="1">
      <alignment horizontal="left" vertical="center"/>
    </xf>
    <xf numFmtId="0" fontId="4" fillId="3" borderId="0" xfId="0" applyFont="1" applyFill="1" applyAlignment="1">
      <alignment vertical="center"/>
    </xf>
    <xf numFmtId="0" fontId="0" fillId="3" borderId="0" xfId="0" applyFill="1" applyAlignment="1">
      <alignment vertical="center" wrapText="1"/>
    </xf>
    <xf numFmtId="0" fontId="2" fillId="3" borderId="65" xfId="0" applyFont="1" applyFill="1" applyBorder="1"/>
    <xf numFmtId="0" fontId="0" fillId="3" borderId="65" xfId="0" applyFill="1" applyBorder="1" applyAlignment="1">
      <alignment wrapText="1"/>
    </xf>
    <xf numFmtId="0" fontId="0" fillId="3" borderId="65" xfId="0" quotePrefix="1" applyFill="1" applyBorder="1"/>
    <xf numFmtId="0" fontId="4" fillId="2" borderId="42" xfId="0" applyFont="1" applyFill="1" applyBorder="1" applyProtection="1">
      <protection locked="0"/>
    </xf>
    <xf numFmtId="0" fontId="4" fillId="2" borderId="41" xfId="0" applyFont="1" applyFill="1" applyBorder="1" applyProtection="1">
      <protection locked="0"/>
    </xf>
    <xf numFmtId="0" fontId="4" fillId="2" borderId="46" xfId="0" applyFont="1" applyFill="1" applyBorder="1" applyProtection="1">
      <protection locked="0"/>
    </xf>
    <xf numFmtId="0" fontId="4" fillId="2" borderId="47" xfId="0" applyFont="1" applyFill="1" applyBorder="1" applyProtection="1">
      <protection locked="0"/>
    </xf>
    <xf numFmtId="0" fontId="7" fillId="0" borderId="41" xfId="0" applyFont="1" applyFill="1" applyBorder="1" applyProtection="1">
      <protection locked="0"/>
    </xf>
    <xf numFmtId="0" fontId="0" fillId="3" borderId="33" xfId="0" applyFont="1" applyFill="1" applyBorder="1" applyAlignment="1" applyProtection="1">
      <alignment horizontal="center"/>
      <protection locked="0"/>
    </xf>
    <xf numFmtId="0" fontId="0" fillId="3" borderId="0" xfId="0" applyFill="1" applyProtection="1"/>
    <xf numFmtId="0" fontId="0" fillId="3" borderId="0" xfId="0" applyFont="1" applyFill="1" applyAlignment="1" applyProtection="1">
      <alignment horizontal="left" vertical="center"/>
      <protection locked="0"/>
    </xf>
    <xf numFmtId="0" fontId="0" fillId="3" borderId="0" xfId="0" applyFill="1" applyProtection="1">
      <protection locked="0"/>
    </xf>
    <xf numFmtId="0" fontId="0" fillId="3" borderId="0" xfId="0" applyFont="1" applyFill="1" applyBorder="1" applyAlignment="1" applyProtection="1">
      <alignment horizontal="left" vertical="center"/>
      <protection locked="0"/>
    </xf>
    <xf numFmtId="0" fontId="0" fillId="3" borderId="17" xfId="0" applyFont="1" applyFill="1" applyBorder="1" applyAlignment="1" applyProtection="1">
      <alignment horizontal="left" vertical="center"/>
      <protection locked="0"/>
    </xf>
    <xf numFmtId="0" fontId="0" fillId="2" borderId="43" xfId="0" applyFill="1" applyBorder="1" applyProtection="1">
      <protection locked="0"/>
    </xf>
    <xf numFmtId="0" fontId="0" fillId="2" borderId="49" xfId="0" applyFill="1" applyBorder="1" applyProtection="1">
      <protection locked="0"/>
    </xf>
    <xf numFmtId="0" fontId="0" fillId="2" borderId="45" xfId="0" applyFill="1" applyBorder="1" applyProtection="1">
      <protection locked="0"/>
    </xf>
    <xf numFmtId="9" fontId="0" fillId="3" borderId="0" xfId="0" applyNumberFormat="1" applyFont="1" applyFill="1" applyProtection="1">
      <protection locked="0"/>
    </xf>
    <xf numFmtId="0" fontId="14" fillId="3" borderId="0" xfId="0" applyFont="1" applyFill="1" applyProtection="1">
      <protection locked="0"/>
    </xf>
    <xf numFmtId="0" fontId="14" fillId="3" borderId="0" xfId="0" applyFont="1" applyFill="1" applyAlignment="1" applyProtection="1">
      <alignment horizontal="left"/>
      <protection locked="0"/>
    </xf>
    <xf numFmtId="0" fontId="0" fillId="3" borderId="65" xfId="0" quotePrefix="1" applyFill="1" applyBorder="1" applyAlignment="1">
      <alignment vertical="center"/>
    </xf>
    <xf numFmtId="0" fontId="18" fillId="3" borderId="0" xfId="4" applyFill="1"/>
    <xf numFmtId="49" fontId="0" fillId="3" borderId="0" xfId="0" applyNumberFormat="1" applyFill="1" applyBorder="1" applyAlignment="1">
      <alignment horizontal="center" vertical="center" wrapText="1"/>
    </xf>
    <xf numFmtId="49" fontId="0" fillId="3" borderId="38" xfId="0" applyNumberFormat="1" applyFill="1" applyBorder="1" applyAlignment="1">
      <alignment horizontal="center" vertical="center" wrapText="1"/>
    </xf>
    <xf numFmtId="0" fontId="4" fillId="3" borderId="0" xfId="0" applyFont="1" applyFill="1" applyAlignment="1">
      <alignment horizontal="left" wrapText="1"/>
    </xf>
    <xf numFmtId="0" fontId="0" fillId="3" borderId="7" xfId="0" applyFill="1" applyBorder="1" applyAlignment="1">
      <alignment horizontal="left" wrapText="1"/>
    </xf>
    <xf numFmtId="49" fontId="0" fillId="3" borderId="0" xfId="0" applyNumberFormat="1" applyFill="1" applyBorder="1" applyAlignment="1">
      <alignment horizontal="left" vertical="center" wrapText="1"/>
    </xf>
    <xf numFmtId="49" fontId="0" fillId="3" borderId="7" xfId="0" applyNumberFormat="1" applyFill="1" applyBorder="1" applyAlignment="1">
      <alignment horizontal="left" vertical="center" wrapText="1"/>
    </xf>
    <xf numFmtId="0" fontId="0" fillId="3" borderId="0" xfId="0" applyFill="1" applyBorder="1" applyAlignment="1">
      <alignment horizontal="left" wrapText="1"/>
    </xf>
    <xf numFmtId="0" fontId="0" fillId="3" borderId="0" xfId="0" applyFill="1" applyBorder="1" applyAlignment="1">
      <alignment horizontal="right" vertical="center"/>
    </xf>
    <xf numFmtId="0" fontId="0" fillId="3" borderId="7" xfId="0" applyFill="1" applyBorder="1" applyAlignment="1">
      <alignment horizontal="right" vertical="center"/>
    </xf>
    <xf numFmtId="169" fontId="0" fillId="3" borderId="0" xfId="0" applyNumberFormat="1" applyFill="1" applyBorder="1" applyAlignment="1">
      <alignment horizontal="right" wrapText="1"/>
    </xf>
    <xf numFmtId="169" fontId="0" fillId="3" borderId="7" xfId="0" applyNumberFormat="1" applyFill="1" applyBorder="1" applyAlignment="1">
      <alignment horizontal="right" wrapText="1"/>
    </xf>
    <xf numFmtId="0" fontId="0" fillId="3" borderId="0" xfId="0" applyFill="1" applyBorder="1" applyAlignment="1">
      <alignment horizontal="center"/>
    </xf>
    <xf numFmtId="0" fontId="0" fillId="3" borderId="7" xfId="0" applyFill="1" applyBorder="1" applyAlignment="1">
      <alignment horizontal="center"/>
    </xf>
    <xf numFmtId="0" fontId="4" fillId="2" borderId="46" xfId="0" applyFont="1" applyFill="1" applyBorder="1" applyAlignment="1" applyProtection="1">
      <alignment horizontal="right"/>
      <protection locked="0"/>
    </xf>
    <xf numFmtId="0" fontId="4" fillId="2" borderId="47" xfId="0" applyFont="1" applyFill="1" applyBorder="1" applyAlignment="1" applyProtection="1">
      <alignment horizontal="right"/>
      <protection locked="0"/>
    </xf>
    <xf numFmtId="2" fontId="0" fillId="3" borderId="40" xfId="0" applyNumberFormat="1" applyFill="1" applyBorder="1" applyAlignment="1">
      <alignment horizontal="center"/>
    </xf>
    <xf numFmtId="2" fontId="0" fillId="3" borderId="7" xfId="0" applyNumberFormat="1" applyFill="1" applyBorder="1" applyAlignment="1">
      <alignment horizontal="center"/>
    </xf>
    <xf numFmtId="2" fontId="0" fillId="3" borderId="0" xfId="0" applyNumberFormat="1" applyFill="1" applyBorder="1" applyAlignment="1">
      <alignment horizontal="center"/>
    </xf>
    <xf numFmtId="49" fontId="0" fillId="3" borderId="38" xfId="0" applyNumberFormat="1" applyFill="1" applyBorder="1" applyAlignment="1">
      <alignment horizontal="left" vertical="center" wrapText="1"/>
    </xf>
    <xf numFmtId="0" fontId="0" fillId="3" borderId="38" xfId="0" applyFill="1" applyBorder="1" applyAlignment="1">
      <alignment horizontal="left" wrapText="1"/>
    </xf>
    <xf numFmtId="0" fontId="0" fillId="3" borderId="0" xfId="0" applyFill="1" applyBorder="1" applyAlignment="1">
      <alignment horizontal="right"/>
    </xf>
    <xf numFmtId="0" fontId="0" fillId="3" borderId="38" xfId="0" applyFill="1" applyBorder="1" applyAlignment="1">
      <alignment horizontal="right"/>
    </xf>
    <xf numFmtId="0" fontId="0" fillId="3" borderId="38" xfId="0" applyFill="1" applyBorder="1" applyAlignment="1">
      <alignment horizontal="center"/>
    </xf>
    <xf numFmtId="0" fontId="4" fillId="2" borderId="48" xfId="0" applyFont="1" applyFill="1" applyBorder="1" applyAlignment="1" applyProtection="1">
      <alignment horizontal="right"/>
      <protection locked="0"/>
    </xf>
    <xf numFmtId="0" fontId="0" fillId="3" borderId="6" xfId="0" applyFill="1" applyBorder="1" applyAlignment="1">
      <alignment horizontal="left" wrapText="1"/>
    </xf>
    <xf numFmtId="0" fontId="7" fillId="3" borderId="59" xfId="0" applyFont="1" applyFill="1" applyBorder="1" applyAlignment="1">
      <alignment horizontal="center"/>
    </xf>
    <xf numFmtId="0" fontId="7" fillId="3" borderId="60" xfId="0" applyFont="1" applyFill="1" applyBorder="1" applyAlignment="1">
      <alignment horizontal="center"/>
    </xf>
    <xf numFmtId="0" fontId="7" fillId="3" borderId="61" xfId="0" applyFont="1" applyFill="1" applyBorder="1" applyAlignment="1">
      <alignment horizontal="center"/>
    </xf>
    <xf numFmtId="0" fontId="0" fillId="3" borderId="0" xfId="0" applyFill="1" applyBorder="1" applyAlignment="1">
      <alignment horizontal="left" vertical="center" wrapText="1"/>
    </xf>
    <xf numFmtId="0" fontId="6" fillId="3" borderId="0" xfId="0" applyFont="1" applyFill="1" applyBorder="1" applyAlignment="1">
      <alignment horizontal="right"/>
    </xf>
    <xf numFmtId="0" fontId="6" fillId="3" borderId="38" xfId="0" applyFont="1" applyFill="1" applyBorder="1" applyAlignment="1">
      <alignment horizontal="right"/>
    </xf>
    <xf numFmtId="0" fontId="0" fillId="3" borderId="0" xfId="0" applyFill="1" applyAlignment="1">
      <alignment horizontal="left"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9" fontId="0" fillId="3" borderId="22" xfId="3" applyFont="1" applyFill="1" applyBorder="1" applyAlignment="1">
      <alignment horizontal="left"/>
    </xf>
    <xf numFmtId="9" fontId="0" fillId="3" borderId="23" xfId="3" applyFont="1" applyFill="1" applyBorder="1" applyAlignment="1">
      <alignment horizontal="left"/>
    </xf>
    <xf numFmtId="9" fontId="0" fillId="3" borderId="24" xfId="0" applyNumberFormat="1" applyFill="1" applyBorder="1" applyAlignment="1">
      <alignment horizontal="left"/>
    </xf>
    <xf numFmtId="9" fontId="0" fillId="3" borderId="21" xfId="0" applyNumberFormat="1" applyFill="1" applyBorder="1" applyAlignment="1">
      <alignment horizontal="left"/>
    </xf>
    <xf numFmtId="0" fontId="0" fillId="3" borderId="0" xfId="0" applyFill="1" applyAlignment="1">
      <alignment horizontal="left" vertical="center" wrapText="1"/>
    </xf>
    <xf numFmtId="0" fontId="0" fillId="3" borderId="2" xfId="0" applyFill="1" applyBorder="1" applyAlignment="1">
      <alignment horizontal="left" wrapText="1"/>
    </xf>
    <xf numFmtId="0" fontId="0" fillId="3" borderId="3" xfId="0" applyFill="1" applyBorder="1" applyAlignment="1">
      <alignment horizontal="left" wrapText="1"/>
    </xf>
    <xf numFmtId="0" fontId="2" fillId="3" borderId="16"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3" borderId="0" xfId="0" applyFill="1" applyAlignment="1">
      <alignment horizontal="left"/>
    </xf>
    <xf numFmtId="0" fontId="7" fillId="3" borderId="5" xfId="0" applyFont="1" applyFill="1" applyBorder="1" applyAlignment="1">
      <alignment horizontal="center" vertical="center" textRotation="90"/>
    </xf>
    <xf numFmtId="0" fontId="7" fillId="3" borderId="64" xfId="0" applyFont="1" applyFill="1" applyBorder="1" applyAlignment="1">
      <alignment horizontal="center" vertical="center" textRotation="90"/>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0" xfId="0" applyFont="1" applyFill="1" applyBorder="1" applyAlignment="1">
      <alignment horizontal="left" vertical="center" wrapText="1"/>
    </xf>
  </cellXfs>
  <cellStyles count="5">
    <cellStyle name="Komma" xfId="2" builtinId="3"/>
    <cellStyle name="Link" xfId="4" builtinId="8"/>
    <cellStyle name="Prozent" xfId="3" builtinId="5"/>
    <cellStyle name="Standard" xfId="0" builtinId="0"/>
    <cellStyle name="Währung" xfId="1" builtinId="4"/>
  </cellStyles>
  <dxfs count="32">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protection locked="0" hidden="0"/>
    </dxf>
    <dxf>
      <numFmt numFmtId="0" formatCode="General"/>
      <fill>
        <patternFill patternType="solid">
          <fgColor indexed="64"/>
          <bgColor theme="0" tint="-4.9989318521683403E-2"/>
        </patternFill>
      </fill>
      <protection locked="0" hidden="0"/>
    </dxf>
    <dxf>
      <fill>
        <patternFill patternType="solid">
          <fgColor indexed="64"/>
          <bgColor theme="0" tint="-4.9989318521683403E-2"/>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left" vertical="center" textRotation="0" wrapText="0" indent="0" justifyLastLine="0" shrinkToFit="0" readingOrder="0"/>
      <protection locked="0" hidden="0"/>
    </dxf>
    <dxf>
      <protection locked="0" hidden="0"/>
    </dxf>
    <dxf>
      <font>
        <strike val="0"/>
        <outline val="0"/>
        <shadow val="0"/>
        <u val="none"/>
        <vertAlign val="baseline"/>
        <sz val="11"/>
        <color theme="1" tint="4.9989318521683403E-2"/>
        <name val="Calibri"/>
        <scheme val="minor"/>
      </font>
      <protection locked="0" hidden="0"/>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fgColor indexed="64"/>
          <bgColor theme="0" tint="-4.9989318521683403E-2"/>
        </patternFill>
      </fill>
    </dxf>
    <dxf>
      <fill>
        <patternFill>
          <fgColor indexed="64"/>
          <bgColor theme="0" tint="-4.9989318521683403E-2"/>
        </patternFill>
      </fill>
    </dxf>
    <dxf>
      <fill>
        <patternFill>
          <fgColor indexed="64"/>
          <bgColor theme="0" tint="-4.9989318521683403E-2"/>
        </patternFill>
      </fill>
    </dxf>
    <dxf>
      <fill>
        <patternFill>
          <fgColor indexed="64"/>
          <bgColor theme="0" tint="-4.9989318521683403E-2"/>
        </patternFill>
      </fill>
    </dxf>
    <dxf>
      <fill>
        <patternFill>
          <fgColor indexed="64"/>
          <bgColor theme="0" tint="-4.9989318521683403E-2"/>
        </patternFill>
      </fill>
    </dxf>
    <dxf>
      <font>
        <strike val="0"/>
        <outline val="0"/>
        <shadow val="0"/>
        <u val="none"/>
        <vertAlign val="baseline"/>
        <sz val="11"/>
        <color theme="1" tint="0.249977111117893"/>
        <name val="Calibri"/>
        <scheme val="minor"/>
      </font>
      <fill>
        <patternFill>
          <fgColor indexed="64"/>
          <bgColor theme="0" tint="-4.9989318521683403E-2"/>
        </patternFill>
      </fill>
    </dxf>
    <dxf>
      <font>
        <b/>
        <i val="0"/>
        <color rgb="FF3E4D1F"/>
      </font>
      <fill>
        <patternFill>
          <bgColor theme="6" tint="0.59996337778862885"/>
        </patternFill>
      </fill>
    </dxf>
    <dxf>
      <font>
        <b/>
        <i val="0"/>
        <color rgb="FF3E4D1F"/>
      </font>
      <fill>
        <patternFill>
          <bgColor theme="6" tint="0.59996337778862885"/>
        </patternFill>
      </fill>
    </dxf>
    <dxf>
      <font>
        <b/>
        <i val="0"/>
      </font>
      <fill>
        <patternFill>
          <bgColor theme="6" tint="0.59996337778862885"/>
        </patternFill>
      </fill>
    </dxf>
    <dxf>
      <font>
        <b/>
        <i val="0"/>
        <color rgb="FF3E4D1F"/>
      </font>
      <fill>
        <patternFill>
          <bgColor theme="6" tint="0.59996337778862885"/>
        </patternFill>
      </fill>
    </dxf>
    <dxf>
      <font>
        <b/>
        <i val="0"/>
        <color rgb="FF3E4D1F"/>
      </font>
      <fill>
        <patternFill>
          <bgColor theme="6" tint="0.59996337778862885"/>
        </patternFill>
      </fill>
    </dxf>
    <dxf>
      <font>
        <b/>
        <i val="0"/>
        <color rgb="FF3E4D1F"/>
      </font>
      <fill>
        <patternFill>
          <bgColor theme="6" tint="0.59996337778862885"/>
        </patternFill>
      </fill>
    </dxf>
    <dxf>
      <font>
        <b/>
        <i val="0"/>
        <color rgb="FF3E4D1F"/>
      </font>
      <fill>
        <patternFill>
          <bgColor theme="6" tint="0.59996337778862885"/>
        </patternFill>
      </fill>
    </dxf>
    <dxf>
      <font>
        <b/>
        <i val="0"/>
        <color rgb="FF3E4D1F"/>
      </font>
      <fill>
        <patternFill>
          <bgColor theme="6" tint="0.59996337778862885"/>
        </patternFill>
      </fill>
    </dxf>
    <dxf>
      <font>
        <b/>
        <i val="0"/>
        <color rgb="FF3E4D1F"/>
      </font>
      <fill>
        <patternFill>
          <bgColor theme="6" tint="0.59996337778862885"/>
        </patternFill>
      </fill>
    </dxf>
    <dxf>
      <font>
        <b/>
        <i val="0"/>
        <color rgb="FF3E4D1F"/>
      </font>
      <fill>
        <patternFill>
          <bgColor theme="6" tint="0.59996337778862885"/>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solid">
          <bgColor theme="0" tint="-4.9989318521683403E-2"/>
        </patternFill>
      </fill>
    </dxf>
    <dxf>
      <font>
        <color rgb="FF9C0006"/>
      </font>
      <fill>
        <patternFill patternType="solid">
          <bgColor theme="0" tint="-4.9989318521683403E-2"/>
        </patternFill>
      </fill>
    </dxf>
  </dxfs>
  <tableStyles count="0" defaultTableStyle="TableStyleMedium2" defaultPivotStyle="PivotStyleLight16"/>
  <colors>
    <mruColors>
      <color rgb="FF3E4D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J$18"/>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CheckBox" fmlaLink="$J$39"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504824</xdr:colOff>
      <xdr:row>23</xdr:row>
      <xdr:rowOff>76200</xdr:rowOff>
    </xdr:from>
    <xdr:to>
      <xdr:col>4</xdr:col>
      <xdr:colOff>504824</xdr:colOff>
      <xdr:row>30</xdr:row>
      <xdr:rowOff>32550</xdr:rowOff>
    </xdr:to>
    <xdr:cxnSp macro="">
      <xdr:nvCxnSpPr>
        <xdr:cNvPr id="17" name="Gerade Verbindung mit Pfeil 16"/>
        <xdr:cNvCxnSpPr/>
      </xdr:nvCxnSpPr>
      <xdr:spPr>
        <a:xfrm>
          <a:off x="5610224" y="4714875"/>
          <a:ext cx="0" cy="1728000"/>
        </a:xfrm>
        <a:prstGeom prst="straightConnector1">
          <a:avLst/>
        </a:prstGeom>
        <a:ln w="31750">
          <a:solidFill>
            <a:schemeClr val="bg1">
              <a:lumMod val="50000"/>
            </a:schemeClr>
          </a:solidFill>
          <a:prstDash val="sysDot"/>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495300</xdr:colOff>
      <xdr:row>23</xdr:row>
      <xdr:rowOff>76200</xdr:rowOff>
    </xdr:from>
    <xdr:to>
      <xdr:col>6</xdr:col>
      <xdr:colOff>495300</xdr:colOff>
      <xdr:row>30</xdr:row>
      <xdr:rowOff>32550</xdr:rowOff>
    </xdr:to>
    <xdr:cxnSp macro="">
      <xdr:nvCxnSpPr>
        <xdr:cNvPr id="16" name="Gerade Verbindung mit Pfeil 15"/>
        <xdr:cNvCxnSpPr/>
      </xdr:nvCxnSpPr>
      <xdr:spPr>
        <a:xfrm>
          <a:off x="7696200" y="4714875"/>
          <a:ext cx="0" cy="1728000"/>
        </a:xfrm>
        <a:prstGeom prst="straightConnector1">
          <a:avLst/>
        </a:prstGeom>
        <a:ln w="31750">
          <a:solidFill>
            <a:schemeClr val="bg1">
              <a:lumMod val="50000"/>
            </a:schemeClr>
          </a:solidFill>
          <a:prstDash val="sysDot"/>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514350</xdr:colOff>
      <xdr:row>23</xdr:row>
      <xdr:rowOff>76200</xdr:rowOff>
    </xdr:from>
    <xdr:to>
      <xdr:col>2</xdr:col>
      <xdr:colOff>514350</xdr:colOff>
      <xdr:row>30</xdr:row>
      <xdr:rowOff>32550</xdr:rowOff>
    </xdr:to>
    <xdr:cxnSp macro="">
      <xdr:nvCxnSpPr>
        <xdr:cNvPr id="12" name="Gerade Verbindung mit Pfeil 11"/>
        <xdr:cNvCxnSpPr/>
      </xdr:nvCxnSpPr>
      <xdr:spPr>
        <a:xfrm>
          <a:off x="3524250" y="4714875"/>
          <a:ext cx="0" cy="1728000"/>
        </a:xfrm>
        <a:prstGeom prst="straightConnector1">
          <a:avLst/>
        </a:prstGeom>
        <a:ln w="31750">
          <a:solidFill>
            <a:schemeClr val="bg1">
              <a:lumMod val="50000"/>
            </a:schemeClr>
          </a:solidFill>
          <a:prstDash val="sysDot"/>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519112</xdr:colOff>
      <xdr:row>23</xdr:row>
      <xdr:rowOff>76200</xdr:rowOff>
    </xdr:from>
    <xdr:to>
      <xdr:col>3</xdr:col>
      <xdr:colOff>519112</xdr:colOff>
      <xdr:row>30</xdr:row>
      <xdr:rowOff>32550</xdr:rowOff>
    </xdr:to>
    <xdr:cxnSp macro="">
      <xdr:nvCxnSpPr>
        <xdr:cNvPr id="13" name="Gerade Verbindung mit Pfeil 12"/>
        <xdr:cNvCxnSpPr/>
      </xdr:nvCxnSpPr>
      <xdr:spPr>
        <a:xfrm>
          <a:off x="4576762" y="4724400"/>
          <a:ext cx="0" cy="1728000"/>
        </a:xfrm>
        <a:prstGeom prst="straightConnector1">
          <a:avLst/>
        </a:prstGeom>
        <a:ln w="31750">
          <a:solidFill>
            <a:schemeClr val="bg1">
              <a:lumMod val="50000"/>
            </a:schemeClr>
          </a:solidFill>
          <a:prstDash val="sysDot"/>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500061</xdr:colOff>
      <xdr:row>23</xdr:row>
      <xdr:rowOff>76200</xdr:rowOff>
    </xdr:from>
    <xdr:to>
      <xdr:col>5</xdr:col>
      <xdr:colOff>500061</xdr:colOff>
      <xdr:row>30</xdr:row>
      <xdr:rowOff>32550</xdr:rowOff>
    </xdr:to>
    <xdr:cxnSp macro="">
      <xdr:nvCxnSpPr>
        <xdr:cNvPr id="14" name="Gerade Verbindung mit Pfeil 13"/>
        <xdr:cNvCxnSpPr/>
      </xdr:nvCxnSpPr>
      <xdr:spPr>
        <a:xfrm>
          <a:off x="6653211" y="4714875"/>
          <a:ext cx="0" cy="1728000"/>
        </a:xfrm>
        <a:prstGeom prst="straightConnector1">
          <a:avLst/>
        </a:prstGeom>
        <a:ln w="31750">
          <a:solidFill>
            <a:schemeClr val="bg1">
              <a:lumMod val="50000"/>
            </a:schemeClr>
          </a:solidFill>
          <a:prstDash val="sysDot"/>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647700</xdr:colOff>
      <xdr:row>24</xdr:row>
      <xdr:rowOff>28574</xdr:rowOff>
    </xdr:from>
    <xdr:to>
      <xdr:col>7</xdr:col>
      <xdr:colOff>0</xdr:colOff>
      <xdr:row>29</xdr:row>
      <xdr:rowOff>0</xdr:rowOff>
    </xdr:to>
    <xdr:sp macro="" textlink="">
      <xdr:nvSpPr>
        <xdr:cNvPr id="9" name="Textfeld 8"/>
        <xdr:cNvSpPr txBox="1"/>
      </xdr:nvSpPr>
      <xdr:spPr>
        <a:xfrm>
          <a:off x="4848225" y="4867274"/>
          <a:ext cx="3543300" cy="1057276"/>
        </a:xfrm>
        <a:prstGeom prst="rect">
          <a:avLst/>
        </a:prstGeom>
        <a:solidFill>
          <a:schemeClr val="bg1">
            <a:lumMod val="95000"/>
            <a:alpha val="85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a:t>Sie können eine geringere Anzahl an Stellplätzen reduzieren als Ihnen zusteht (vgl. Leitfaden). Geben Sie hierzu einen eigenen Wert in das weiße Feld ein. Im Falle der "Reduktion duch Ersetzung" ändert sich dann auch die Anzahl der herzustellenden Fahrradabstellplätze.</a:t>
          </a:r>
        </a:p>
      </xdr:txBody>
    </xdr:sp>
    <xdr:clientData/>
  </xdr:twoCellAnchor>
  <xdr:twoCellAnchor>
    <xdr:from>
      <xdr:col>4</xdr:col>
      <xdr:colOff>9525</xdr:colOff>
      <xdr:row>20</xdr:row>
      <xdr:rowOff>190499</xdr:rowOff>
    </xdr:from>
    <xdr:to>
      <xdr:col>4</xdr:col>
      <xdr:colOff>9525</xdr:colOff>
      <xdr:row>24</xdr:row>
      <xdr:rowOff>95549</xdr:rowOff>
    </xdr:to>
    <xdr:cxnSp macro="">
      <xdr:nvCxnSpPr>
        <xdr:cNvPr id="3" name="Gerade Verbindung mit Pfeil 2"/>
        <xdr:cNvCxnSpPr/>
      </xdr:nvCxnSpPr>
      <xdr:spPr>
        <a:xfrm>
          <a:off x="5114925" y="4286249"/>
          <a:ext cx="0" cy="648000"/>
        </a:xfrm>
        <a:prstGeom prst="straightConnector1">
          <a:avLst/>
        </a:prstGeom>
        <a:ln w="38100">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20</xdr:row>
      <xdr:rowOff>180974</xdr:rowOff>
    </xdr:from>
    <xdr:to>
      <xdr:col>6</xdr:col>
      <xdr:colOff>0</xdr:colOff>
      <xdr:row>24</xdr:row>
      <xdr:rowOff>86024</xdr:rowOff>
    </xdr:to>
    <xdr:cxnSp macro="">
      <xdr:nvCxnSpPr>
        <xdr:cNvPr id="4" name="Gerade Verbindung mit Pfeil 3"/>
        <xdr:cNvCxnSpPr/>
      </xdr:nvCxnSpPr>
      <xdr:spPr>
        <a:xfrm>
          <a:off x="7200900" y="4276724"/>
          <a:ext cx="0" cy="648000"/>
        </a:xfrm>
        <a:prstGeom prst="straightConnector1">
          <a:avLst/>
        </a:prstGeom>
        <a:ln w="38100">
          <a:headEnd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1228725</xdr:colOff>
      <xdr:row>12</xdr:row>
      <xdr:rowOff>0</xdr:rowOff>
    </xdr:from>
    <xdr:to>
      <xdr:col>5</xdr:col>
      <xdr:colOff>0</xdr:colOff>
      <xdr:row>20</xdr:row>
      <xdr:rowOff>180975</xdr:rowOff>
    </xdr:to>
    <xdr:sp macro="" textlink="">
      <xdr:nvSpPr>
        <xdr:cNvPr id="10" name="Rechteck 9"/>
        <xdr:cNvSpPr/>
      </xdr:nvSpPr>
      <xdr:spPr>
        <a:xfrm>
          <a:off x="5286375" y="2381250"/>
          <a:ext cx="1247775" cy="1895475"/>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1038225</xdr:colOff>
      <xdr:row>11</xdr:row>
      <xdr:rowOff>219075</xdr:rowOff>
    </xdr:from>
    <xdr:to>
      <xdr:col>6</xdr:col>
      <xdr:colOff>1009650</xdr:colOff>
      <xdr:row>20</xdr:row>
      <xdr:rowOff>180975</xdr:rowOff>
    </xdr:to>
    <xdr:sp macro="" textlink="">
      <xdr:nvSpPr>
        <xdr:cNvPr id="19" name="Rechteck 18"/>
        <xdr:cNvSpPr/>
      </xdr:nvSpPr>
      <xdr:spPr>
        <a:xfrm>
          <a:off x="7191375" y="2352675"/>
          <a:ext cx="1019175" cy="192405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22</xdr:row>
          <xdr:rowOff>0</xdr:rowOff>
        </xdr:from>
        <xdr:to>
          <xdr:col>2</xdr:col>
          <xdr:colOff>657225</xdr:colOff>
          <xdr:row>23</xdr:row>
          <xdr:rowOff>19050</xdr:rowOff>
        </xdr:to>
        <xdr:sp macro="" textlink="">
          <xdr:nvSpPr>
            <xdr:cNvPr id="5153" name="Option Button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619125</xdr:colOff>
          <xdr:row>23</xdr:row>
          <xdr:rowOff>19050</xdr:rowOff>
        </xdr:to>
        <xdr:sp macro="" textlink="">
          <xdr:nvSpPr>
            <xdr:cNvPr id="5154" name="Option Button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22</xdr:row>
          <xdr:rowOff>0</xdr:rowOff>
        </xdr:from>
        <xdr:to>
          <xdr:col>4</xdr:col>
          <xdr:colOff>619125</xdr:colOff>
          <xdr:row>23</xdr:row>
          <xdr:rowOff>19050</xdr:rowOff>
        </xdr:to>
        <xdr:sp macro="" textlink="">
          <xdr:nvSpPr>
            <xdr:cNvPr id="5155" name="Option Button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22</xdr:row>
          <xdr:rowOff>0</xdr:rowOff>
        </xdr:from>
        <xdr:to>
          <xdr:col>5</xdr:col>
          <xdr:colOff>609600</xdr:colOff>
          <xdr:row>23</xdr:row>
          <xdr:rowOff>19050</xdr:rowOff>
        </xdr:to>
        <xdr:sp macro="" textlink="">
          <xdr:nvSpPr>
            <xdr:cNvPr id="5156" name="Option Button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22</xdr:row>
          <xdr:rowOff>0</xdr:rowOff>
        </xdr:from>
        <xdr:to>
          <xdr:col>6</xdr:col>
          <xdr:colOff>590550</xdr:colOff>
          <xdr:row>23</xdr:row>
          <xdr:rowOff>19050</xdr:rowOff>
        </xdr:to>
        <xdr:sp macro="" textlink="">
          <xdr:nvSpPr>
            <xdr:cNvPr id="5157" name="Option Button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0</xdr:colOff>
          <xdr:row>38</xdr:row>
          <xdr:rowOff>190500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xdr:row>
          <xdr:rowOff>9525</xdr:rowOff>
        </xdr:from>
        <xdr:to>
          <xdr:col>2</xdr:col>
          <xdr:colOff>0</xdr:colOff>
          <xdr:row>6</xdr:row>
          <xdr:rowOff>38100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9525</xdr:rowOff>
        </xdr:from>
        <xdr:to>
          <xdr:col>2</xdr:col>
          <xdr:colOff>0</xdr:colOff>
          <xdr:row>7</xdr:row>
          <xdr:rowOff>38100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9525</xdr:rowOff>
        </xdr:from>
        <xdr:to>
          <xdr:col>2</xdr:col>
          <xdr:colOff>0</xdr:colOff>
          <xdr:row>8</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2</xdr:col>
          <xdr:colOff>0</xdr:colOff>
          <xdr:row>9</xdr:row>
          <xdr:rowOff>38100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2</xdr:col>
          <xdr:colOff>0</xdr:colOff>
          <xdr:row>10</xdr:row>
          <xdr:rowOff>38100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9525</xdr:rowOff>
        </xdr:from>
        <xdr:to>
          <xdr:col>2</xdr:col>
          <xdr:colOff>0</xdr:colOff>
          <xdr:row>11</xdr:row>
          <xdr:rowOff>38100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elle1" displayName="Tabelle1" ref="J8:M15" totalsRowShown="0" headerRowDxfId="17" dataDxfId="16">
  <autoFilter ref="J8:M15"/>
  <tableColumns count="4">
    <tableColumn id="1" name="Bereich" dataDxfId="15"/>
    <tableColumn id="2" name="Reduktion aufgrund Lage" dataDxfId="14"/>
    <tableColumn id="3" name="Ersetzung durch Fahrradabstellplätze" dataDxfId="13"/>
    <tableColumn id="4" name="in Prozent" dataDxfId="12"/>
  </tableColumns>
  <tableStyleInfo name="TableStyleMedium2" showFirstColumn="0" showLastColumn="0" showRowStripes="1" showColumnStripes="0"/>
</table>
</file>

<file path=xl/tables/table2.xml><?xml version="1.0" encoding="utf-8"?>
<table xmlns="http://schemas.openxmlformats.org/spreadsheetml/2006/main" id="4" name="Tabelle4" displayName="Tabelle4" ref="J31:K36" totalsRowShown="0" headerRowDxfId="11" dataDxfId="10">
  <autoFilter ref="J31:K36"/>
  <tableColumns count="2">
    <tableColumn id="1" name="Spalte1" dataDxfId="9"/>
    <tableColumn id="2" name="Spalte2" dataDxfId="8"/>
  </tableColumns>
  <tableStyleInfo name="TableStyleMedium2" showFirstColumn="0" showLastColumn="0" showRowStripes="1" showColumnStripes="0"/>
</table>
</file>

<file path=xl/tables/table3.xml><?xml version="1.0" encoding="utf-8"?>
<table xmlns="http://schemas.openxmlformats.org/spreadsheetml/2006/main" id="2" name="Tabelle2" displayName="Tabelle2" ref="J19:M24" totalsRowShown="0" headerRowDxfId="7" dataDxfId="6">
  <autoFilter ref="J19:M24"/>
  <tableColumns count="4">
    <tableColumn id="1" name="Nr. Optionskästchen" dataDxfId="5"/>
    <tableColumn id="2" name="Auswahl" dataDxfId="4"/>
    <tableColumn id="3" name="max Reduktion mit Mobikonzept" dataDxfId="3"/>
    <tableColumn id="4" name="tatsächlich herzust. Stpl. mit Mobikonzept" dataDxfId="2">
      <calculatedColumnFormula>C$15-'3 KostenberechMobikonzept'!#REF!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rkehrsplanung@oberursel.d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table" Target="../tables/table2.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2:C26"/>
  <sheetViews>
    <sheetView workbookViewId="0">
      <selection activeCell="B17" sqref="B17"/>
    </sheetView>
  </sheetViews>
  <sheetFormatPr baseColWidth="10" defaultRowHeight="15" x14ac:dyDescent="0.25"/>
  <cols>
    <col min="1" max="1" width="2.7109375" style="2" customWidth="1"/>
    <col min="2" max="2" width="27.28515625" style="2" customWidth="1"/>
    <col min="3" max="3" width="85" style="2" customWidth="1"/>
    <col min="4" max="16384" width="11.42578125" style="2"/>
  </cols>
  <sheetData>
    <row r="2" spans="2:3" ht="18.75" x14ac:dyDescent="0.3">
      <c r="B2" s="1" t="s">
        <v>99</v>
      </c>
    </row>
    <row r="4" spans="2:3" x14ac:dyDescent="0.25">
      <c r="B4" s="2" t="s">
        <v>96</v>
      </c>
    </row>
    <row r="5" spans="2:3" ht="6" customHeight="1" x14ac:dyDescent="0.25"/>
    <row r="6" spans="2:3" x14ac:dyDescent="0.25">
      <c r="B6" s="2" t="s">
        <v>97</v>
      </c>
      <c r="C6" s="2" t="s">
        <v>19</v>
      </c>
    </row>
    <row r="7" spans="2:3" x14ac:dyDescent="0.25">
      <c r="B7" s="2" t="s">
        <v>98</v>
      </c>
      <c r="C7" s="2" t="s">
        <v>92</v>
      </c>
    </row>
    <row r="8" spans="2:3" x14ac:dyDescent="0.25">
      <c r="B8" s="2" t="s">
        <v>140</v>
      </c>
      <c r="C8" s="2" t="s">
        <v>142</v>
      </c>
    </row>
    <row r="9" spans="2:3" x14ac:dyDescent="0.25">
      <c r="B9" s="2" t="s">
        <v>141</v>
      </c>
      <c r="C9" s="2" t="s">
        <v>143</v>
      </c>
    </row>
    <row r="10" spans="2:3" ht="6" customHeight="1" x14ac:dyDescent="0.25"/>
    <row r="13" spans="2:3" x14ac:dyDescent="0.25">
      <c r="B13" s="38" t="s">
        <v>122</v>
      </c>
      <c r="C13" s="2" t="s">
        <v>144</v>
      </c>
    </row>
    <row r="14" spans="2:3" ht="5.25" customHeight="1" thickBot="1" x14ac:dyDescent="0.3">
      <c r="B14" s="38"/>
    </row>
    <row r="15" spans="2:3" ht="15.75" thickBot="1" x14ac:dyDescent="0.3">
      <c r="B15" s="47" t="s">
        <v>123</v>
      </c>
      <c r="C15" s="2" t="s">
        <v>120</v>
      </c>
    </row>
    <row r="16" spans="2:3" ht="5.25" customHeight="1" thickBot="1" x14ac:dyDescent="0.3">
      <c r="B16" s="32"/>
    </row>
    <row r="17" spans="2:3" ht="15.75" thickBot="1" x14ac:dyDescent="0.3">
      <c r="B17" s="48" t="s">
        <v>124</v>
      </c>
      <c r="C17" s="2" t="s">
        <v>121</v>
      </c>
    </row>
    <row r="20" spans="2:3" x14ac:dyDescent="0.25">
      <c r="B20" s="2" t="s">
        <v>201</v>
      </c>
    </row>
    <row r="21" spans="2:3" x14ac:dyDescent="0.25">
      <c r="B21" s="185" t="s">
        <v>202</v>
      </c>
    </row>
    <row r="26" spans="2:3" x14ac:dyDescent="0.25">
      <c r="B26" s="46"/>
    </row>
  </sheetData>
  <sheetProtection algorithmName="SHA-512" hashValue="9cNZMsLjixLZOPQRLKs3QPFfoSf/Ru3lAKvowV3RvQVYTdYPe++Naj7MT3+LGwgLrpi2LA6AMTbaXhMzEeuAbQ==" saltValue="pLPuQ/Wr/80eXUh0Gq8D5A==" spinCount="100000" sheet="1" objects="1" scenarios="1"/>
  <hyperlinks>
    <hyperlink ref="B21" r:id="rId1"/>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2:N40"/>
  <sheetViews>
    <sheetView tabSelected="1" workbookViewId="0">
      <pane ySplit="7" topLeftCell="A17" activePane="bottomLeft" state="frozen"/>
      <selection pane="bottomLeft" activeCell="J29" sqref="J29"/>
    </sheetView>
  </sheetViews>
  <sheetFormatPr baseColWidth="10" defaultRowHeight="15" x14ac:dyDescent="0.25"/>
  <cols>
    <col min="1" max="1" width="2.7109375" style="2" customWidth="1"/>
    <col min="2" max="2" width="10.42578125" style="2" customWidth="1"/>
    <col min="3" max="3" width="26.85546875" style="2" customWidth="1"/>
    <col min="4" max="4" width="36.5703125" style="2" customWidth="1"/>
    <col min="5" max="5" width="11.140625" style="2" customWidth="1"/>
    <col min="6" max="6" width="34.42578125" style="2" customWidth="1"/>
    <col min="7" max="7" width="11.28515625" style="2" customWidth="1"/>
    <col min="8" max="8" width="20.140625" style="2" customWidth="1"/>
    <col min="9" max="9" width="7.28515625" style="2" bestFit="1" customWidth="1"/>
    <col min="10" max="10" width="15.7109375" style="2" customWidth="1"/>
    <col min="11" max="11" width="11" style="2" customWidth="1"/>
    <col min="12" max="12" width="15.5703125" style="2" customWidth="1"/>
    <col min="13" max="13" width="10.85546875" style="2" customWidth="1"/>
    <col min="14" max="14" width="11.42578125" style="2"/>
    <col min="15" max="15" width="15.7109375" style="2" customWidth="1"/>
    <col min="16" max="16384" width="11.42578125" style="2"/>
  </cols>
  <sheetData>
    <row r="2" spans="1:14" ht="19.5" thickBot="1" x14ac:dyDescent="0.35">
      <c r="B2" s="1" t="s">
        <v>19</v>
      </c>
      <c r="I2" s="15"/>
    </row>
    <row r="3" spans="1:14" ht="29.25" customHeight="1" x14ac:dyDescent="0.3">
      <c r="B3" s="192" t="s">
        <v>166</v>
      </c>
      <c r="C3" s="192"/>
      <c r="D3" s="192"/>
      <c r="E3" s="192"/>
      <c r="F3" s="192"/>
      <c r="G3" s="15"/>
      <c r="I3" s="15"/>
      <c r="J3" s="211" t="s">
        <v>164</v>
      </c>
      <c r="K3" s="212"/>
      <c r="L3" s="212"/>
      <c r="M3" s="213"/>
    </row>
    <row r="4" spans="1:14" ht="45" customHeight="1" x14ac:dyDescent="0.25">
      <c r="B4" s="214" t="s">
        <v>167</v>
      </c>
      <c r="C4" s="214"/>
      <c r="D4" s="214"/>
      <c r="E4" s="214"/>
      <c r="F4" s="214"/>
      <c r="G4" s="214"/>
      <c r="I4" s="15"/>
      <c r="J4" s="132" t="s">
        <v>22</v>
      </c>
      <c r="K4" s="134" t="s">
        <v>72</v>
      </c>
      <c r="L4" s="134" t="s">
        <v>50</v>
      </c>
      <c r="M4" s="130" t="s">
        <v>72</v>
      </c>
    </row>
    <row r="5" spans="1:14" ht="22.5" customHeight="1" thickBot="1" x14ac:dyDescent="0.3">
      <c r="B5" s="71" t="s">
        <v>168</v>
      </c>
      <c r="C5" s="15"/>
      <c r="D5" s="15"/>
      <c r="E5" s="15"/>
      <c r="F5" s="15"/>
      <c r="G5" s="15"/>
      <c r="I5" s="15"/>
      <c r="J5" s="133">
        <f>ROUND(J6,0)</f>
        <v>0</v>
      </c>
      <c r="K5" s="135">
        <f>ROUND(K6,0)</f>
        <v>0</v>
      </c>
      <c r="L5" s="135">
        <f>ROUNDUP(L6,0)</f>
        <v>0</v>
      </c>
      <c r="M5" s="131">
        <f>ROUND(M6,0)</f>
        <v>0</v>
      </c>
    </row>
    <row r="6" spans="1:14" ht="18.75" x14ac:dyDescent="0.25">
      <c r="B6" s="20" t="s">
        <v>51</v>
      </c>
      <c r="J6" s="146">
        <f>SUM(J10:J35)</f>
        <v>0</v>
      </c>
      <c r="K6" s="146">
        <f>SUM(K10:K35)</f>
        <v>0</v>
      </c>
      <c r="L6" s="146">
        <f>SUM(L10:L35)</f>
        <v>0</v>
      </c>
      <c r="M6" s="146">
        <f>SUM(M10:M35)</f>
        <v>0</v>
      </c>
      <c r="N6" s="147" t="s">
        <v>165</v>
      </c>
    </row>
    <row r="7" spans="1:14" ht="75" x14ac:dyDescent="0.25">
      <c r="B7" s="4" t="s">
        <v>20</v>
      </c>
      <c r="C7" s="5" t="s">
        <v>7</v>
      </c>
      <c r="D7" s="97" t="s">
        <v>8</v>
      </c>
      <c r="E7" s="4" t="s">
        <v>9</v>
      </c>
      <c r="F7" s="97" t="s">
        <v>79</v>
      </c>
      <c r="G7" s="4" t="s">
        <v>9</v>
      </c>
      <c r="H7" s="4" t="s">
        <v>73</v>
      </c>
      <c r="I7" s="4" t="s">
        <v>161</v>
      </c>
      <c r="J7" s="4" t="s">
        <v>22</v>
      </c>
      <c r="K7" s="4" t="s">
        <v>72</v>
      </c>
      <c r="L7" s="4" t="s">
        <v>50</v>
      </c>
      <c r="M7" s="4" t="s">
        <v>72</v>
      </c>
    </row>
    <row r="8" spans="1:14" ht="15.75" x14ac:dyDescent="0.25">
      <c r="A8" s="15"/>
      <c r="B8" s="188" t="s">
        <v>25</v>
      </c>
      <c r="C8" s="188"/>
      <c r="D8" s="188"/>
      <c r="E8" s="188"/>
      <c r="F8" s="188"/>
      <c r="G8" s="188"/>
      <c r="H8" s="6"/>
      <c r="I8" s="6"/>
      <c r="J8" s="6"/>
      <c r="K8" s="6"/>
      <c r="L8" s="6"/>
      <c r="M8" s="6"/>
    </row>
    <row r="9" spans="1:14" ht="15.75" thickBot="1" x14ac:dyDescent="0.3">
      <c r="B9" s="186" t="s">
        <v>24</v>
      </c>
      <c r="C9" s="100" t="s">
        <v>23</v>
      </c>
      <c r="D9" s="98"/>
      <c r="E9" s="98"/>
      <c r="F9" s="98"/>
      <c r="G9" s="98"/>
      <c r="H9" s="6"/>
      <c r="I9" s="98"/>
      <c r="J9" s="98"/>
      <c r="K9" s="6"/>
      <c r="L9" s="98"/>
      <c r="M9" s="98"/>
    </row>
    <row r="10" spans="1:14" ht="31.5" thickTop="1" thickBot="1" x14ac:dyDescent="0.3">
      <c r="B10" s="186"/>
      <c r="C10" s="98" t="s">
        <v>21</v>
      </c>
      <c r="D10" s="99">
        <v>1.2</v>
      </c>
      <c r="E10" s="100">
        <v>10</v>
      </c>
      <c r="F10" s="99">
        <v>1</v>
      </c>
      <c r="G10" s="99">
        <v>20</v>
      </c>
      <c r="H10" s="136">
        <v>0</v>
      </c>
      <c r="I10" s="122" t="s">
        <v>162</v>
      </c>
      <c r="J10" s="102">
        <f>D10*H10</f>
        <v>0</v>
      </c>
      <c r="K10" s="102">
        <f>E10*J10/100</f>
        <v>0</v>
      </c>
      <c r="L10" s="102">
        <f>F10*H10</f>
        <v>0</v>
      </c>
      <c r="M10" s="102">
        <f>G10*L10/100</f>
        <v>0</v>
      </c>
    </row>
    <row r="11" spans="1:14" ht="46.5" thickTop="1" thickBot="1" x14ac:dyDescent="0.3">
      <c r="B11" s="186"/>
      <c r="C11" s="101" t="s">
        <v>10</v>
      </c>
      <c r="D11" s="102">
        <v>1.5</v>
      </c>
      <c r="E11" s="103">
        <v>10</v>
      </c>
      <c r="F11" s="102">
        <v>2</v>
      </c>
      <c r="G11" s="102">
        <v>20</v>
      </c>
      <c r="H11" s="136">
        <v>0</v>
      </c>
      <c r="I11" s="123" t="s">
        <v>162</v>
      </c>
      <c r="J11" s="102">
        <f>D11*H11</f>
        <v>0</v>
      </c>
      <c r="K11" s="102">
        <f>E11*J11/100</f>
        <v>0</v>
      </c>
      <c r="L11" s="102">
        <f>F11*H11</f>
        <v>0</v>
      </c>
      <c r="M11" s="102">
        <f>G11*L11/100</f>
        <v>0</v>
      </c>
      <c r="N11" s="15"/>
    </row>
    <row r="12" spans="1:14" ht="31.5" thickTop="1" thickBot="1" x14ac:dyDescent="0.3">
      <c r="B12" s="187"/>
      <c r="C12" s="98" t="s">
        <v>11</v>
      </c>
      <c r="D12" s="99">
        <v>2</v>
      </c>
      <c r="E12" s="100">
        <v>10</v>
      </c>
      <c r="F12" s="99">
        <v>3</v>
      </c>
      <c r="G12" s="99">
        <v>20</v>
      </c>
      <c r="H12" s="167">
        <v>0</v>
      </c>
      <c r="I12" s="124" t="s">
        <v>162</v>
      </c>
      <c r="J12" s="111">
        <f>D12*H12</f>
        <v>0</v>
      </c>
      <c r="K12" s="111">
        <f>E12*J12/100</f>
        <v>0</v>
      </c>
      <c r="L12" s="111">
        <f>F12*H12</f>
        <v>0</v>
      </c>
      <c r="M12" s="111">
        <f>G12*L12/100</f>
        <v>0</v>
      </c>
    </row>
    <row r="13" spans="1:14" ht="17.25" thickTop="1" thickBot="1" x14ac:dyDescent="0.3">
      <c r="A13" s="15"/>
      <c r="B13" s="16" t="s">
        <v>34</v>
      </c>
      <c r="C13" s="189" t="s">
        <v>155</v>
      </c>
      <c r="D13" s="189"/>
      <c r="E13" s="189"/>
      <c r="F13" s="189"/>
      <c r="G13" s="189"/>
      <c r="H13" s="137"/>
      <c r="I13" s="140"/>
      <c r="J13" s="141"/>
      <c r="K13" s="141"/>
      <c r="L13" s="141"/>
      <c r="M13" s="142"/>
      <c r="N13" s="15"/>
    </row>
    <row r="14" spans="1:14" ht="17.25" thickTop="1" thickBot="1" x14ac:dyDescent="0.3">
      <c r="A14" s="15"/>
      <c r="B14" s="188" t="s">
        <v>30</v>
      </c>
      <c r="C14" s="188"/>
      <c r="D14" s="188"/>
      <c r="E14" s="188"/>
      <c r="F14" s="188"/>
      <c r="G14" s="188"/>
      <c r="H14" s="6"/>
      <c r="I14" s="115"/>
      <c r="J14" s="115"/>
      <c r="K14" s="115"/>
      <c r="L14" s="121"/>
      <c r="M14" s="115"/>
    </row>
    <row r="15" spans="1:14" ht="46.5" thickTop="1" thickBot="1" x14ac:dyDescent="0.3">
      <c r="B15" s="104" t="s">
        <v>27</v>
      </c>
      <c r="C15" s="98" t="s">
        <v>26</v>
      </c>
      <c r="D15" s="105">
        <v>30</v>
      </c>
      <c r="E15" s="100">
        <v>20</v>
      </c>
      <c r="F15" s="106">
        <v>40</v>
      </c>
      <c r="G15" s="99">
        <v>20</v>
      </c>
      <c r="H15" s="168">
        <v>0</v>
      </c>
      <c r="I15" s="125" t="s">
        <v>154</v>
      </c>
      <c r="J15" s="120">
        <f>H15/D15</f>
        <v>0</v>
      </c>
      <c r="K15" s="120">
        <f>E15*J15/100</f>
        <v>0</v>
      </c>
      <c r="L15" s="120">
        <f>H15/F15</f>
        <v>0</v>
      </c>
      <c r="M15" s="120">
        <f>G15*L15/100</f>
        <v>0</v>
      </c>
    </row>
    <row r="16" spans="1:14" ht="75" customHeight="1" thickTop="1" x14ac:dyDescent="0.25">
      <c r="A16" s="15"/>
      <c r="B16" s="190" t="s">
        <v>28</v>
      </c>
      <c r="C16" s="192" t="s">
        <v>29</v>
      </c>
      <c r="D16" s="17">
        <v>20</v>
      </c>
      <c r="E16" s="193">
        <v>75</v>
      </c>
      <c r="F16" s="195">
        <v>30</v>
      </c>
      <c r="G16" s="197">
        <v>75</v>
      </c>
      <c r="H16" s="199">
        <v>0</v>
      </c>
      <c r="I16" s="126"/>
      <c r="J16" s="201">
        <f>IF(H16&gt;0,IF(H16/D16&lt;3,3,H16/D16),0)</f>
        <v>0</v>
      </c>
      <c r="K16" s="201">
        <f>E16*J16/100</f>
        <v>0</v>
      </c>
      <c r="L16" s="201">
        <f>H16/F16</f>
        <v>0</v>
      </c>
      <c r="M16" s="201">
        <f>G16*L16/100</f>
        <v>0</v>
      </c>
    </row>
    <row r="17" spans="1:14" ht="15.75" thickBot="1" x14ac:dyDescent="0.3">
      <c r="A17" s="15"/>
      <c r="B17" s="191"/>
      <c r="C17" s="189"/>
      <c r="D17" s="18" t="s">
        <v>74</v>
      </c>
      <c r="E17" s="194"/>
      <c r="F17" s="196"/>
      <c r="G17" s="198"/>
      <c r="H17" s="200"/>
      <c r="I17" s="127" t="s">
        <v>154</v>
      </c>
      <c r="J17" s="202"/>
      <c r="K17" s="202"/>
      <c r="L17" s="202"/>
      <c r="M17" s="202"/>
    </row>
    <row r="18" spans="1:14" ht="17.25" thickTop="1" thickBot="1" x14ac:dyDescent="0.3">
      <c r="A18" s="15"/>
      <c r="B18" s="188" t="s">
        <v>31</v>
      </c>
      <c r="C18" s="188"/>
      <c r="D18" s="188"/>
      <c r="E18" s="188"/>
      <c r="F18" s="188"/>
      <c r="G18" s="188"/>
      <c r="H18" s="6"/>
      <c r="I18" s="114"/>
      <c r="J18" s="114"/>
      <c r="K18" s="114"/>
      <c r="L18" s="114"/>
      <c r="M18" s="114"/>
    </row>
    <row r="19" spans="1:14" ht="15.75" thickTop="1" x14ac:dyDescent="0.25">
      <c r="B19" s="190" t="s">
        <v>32</v>
      </c>
      <c r="C19" s="192" t="s">
        <v>33</v>
      </c>
      <c r="D19" s="9">
        <v>30</v>
      </c>
      <c r="E19" s="206">
        <v>75</v>
      </c>
      <c r="F19" s="10">
        <v>50</v>
      </c>
      <c r="G19" s="197">
        <v>75</v>
      </c>
      <c r="H19" s="199">
        <v>0</v>
      </c>
      <c r="I19" s="116"/>
      <c r="J19" s="203">
        <f>IF(H19&gt;0,IF(H19/D19&lt;2,2,H19/D19),0)</f>
        <v>0</v>
      </c>
      <c r="K19" s="203">
        <f>E19*J19/100</f>
        <v>0</v>
      </c>
      <c r="L19" s="203">
        <f>H19/F19</f>
        <v>0</v>
      </c>
      <c r="M19" s="203">
        <f>G19*L19/100</f>
        <v>0</v>
      </c>
    </row>
    <row r="20" spans="1:14" ht="15.75" thickBot="1" x14ac:dyDescent="0.3">
      <c r="B20" s="204"/>
      <c r="C20" s="205"/>
      <c r="D20" s="107" t="s">
        <v>75</v>
      </c>
      <c r="E20" s="207"/>
      <c r="F20" s="107" t="s">
        <v>76</v>
      </c>
      <c r="G20" s="208"/>
      <c r="H20" s="209"/>
      <c r="I20" s="128" t="s">
        <v>154</v>
      </c>
      <c r="J20" s="203"/>
      <c r="K20" s="203"/>
      <c r="L20" s="203"/>
      <c r="M20" s="203"/>
    </row>
    <row r="21" spans="1:14" ht="17.25" thickTop="1" thickBot="1" x14ac:dyDescent="0.3">
      <c r="A21" s="15"/>
      <c r="B21" s="19" t="s">
        <v>35</v>
      </c>
      <c r="C21" s="189" t="s">
        <v>156</v>
      </c>
      <c r="D21" s="189"/>
      <c r="E21" s="189"/>
      <c r="F21" s="189"/>
      <c r="G21" s="189"/>
      <c r="H21" s="138"/>
      <c r="I21" s="143"/>
      <c r="J21" s="143"/>
      <c r="K21" s="143"/>
      <c r="L21" s="144"/>
      <c r="M21" s="145"/>
      <c r="N21" s="15"/>
    </row>
    <row r="22" spans="1:14" ht="16.5" thickTop="1" x14ac:dyDescent="0.25">
      <c r="A22" s="15"/>
      <c r="B22" s="188" t="s">
        <v>36</v>
      </c>
      <c r="C22" s="188"/>
      <c r="D22" s="188"/>
      <c r="E22" s="188"/>
      <c r="F22" s="188"/>
      <c r="G22" s="188"/>
      <c r="H22" s="6"/>
      <c r="I22" s="114"/>
      <c r="J22" s="114"/>
      <c r="K22" s="114"/>
      <c r="L22" s="114"/>
      <c r="M22" s="114"/>
    </row>
    <row r="23" spans="1:14" ht="15.75" x14ac:dyDescent="0.25">
      <c r="B23" s="188" t="s">
        <v>37</v>
      </c>
      <c r="C23" s="188"/>
      <c r="D23" s="188"/>
      <c r="E23" s="188"/>
      <c r="F23" s="188"/>
      <c r="G23" s="188"/>
      <c r="H23" s="6"/>
      <c r="I23" s="114"/>
      <c r="J23" s="114"/>
      <c r="K23" s="114"/>
      <c r="L23" s="114"/>
      <c r="M23" s="114"/>
    </row>
    <row r="24" spans="1:14" ht="15.75" x14ac:dyDescent="0.25">
      <c r="B24" s="188" t="s">
        <v>38</v>
      </c>
      <c r="C24" s="188"/>
      <c r="D24" s="188"/>
      <c r="E24" s="188"/>
      <c r="F24" s="188"/>
      <c r="G24" s="188"/>
      <c r="H24" s="6"/>
      <c r="I24" s="114"/>
      <c r="J24" s="114"/>
      <c r="K24" s="114"/>
      <c r="L24" s="114"/>
      <c r="M24" s="114"/>
    </row>
    <row r="25" spans="1:14" ht="15.75" x14ac:dyDescent="0.25">
      <c r="B25" s="188" t="s">
        <v>39</v>
      </c>
      <c r="C25" s="188"/>
      <c r="D25" s="188"/>
      <c r="E25" s="188"/>
      <c r="F25" s="188"/>
      <c r="G25" s="188"/>
      <c r="H25" s="6"/>
      <c r="I25" s="114"/>
      <c r="J25" s="114"/>
      <c r="K25" s="114"/>
      <c r="L25" s="114"/>
      <c r="M25" s="114"/>
    </row>
    <row r="26" spans="1:14" ht="16.5" thickBot="1" x14ac:dyDescent="0.3">
      <c r="B26" s="188" t="s">
        <v>40</v>
      </c>
      <c r="C26" s="188"/>
      <c r="D26" s="188"/>
      <c r="E26" s="188"/>
      <c r="F26" s="188"/>
      <c r="G26" s="188"/>
      <c r="H26" s="30"/>
      <c r="I26" s="115"/>
      <c r="J26" s="115"/>
      <c r="K26" s="115"/>
      <c r="L26" s="115"/>
      <c r="M26" s="115"/>
    </row>
    <row r="27" spans="1:14" ht="17.25" thickTop="1" thickBot="1" x14ac:dyDescent="0.3">
      <c r="A27" s="15"/>
      <c r="B27" s="19" t="s">
        <v>42</v>
      </c>
      <c r="C27" s="189" t="s">
        <v>157</v>
      </c>
      <c r="D27" s="189"/>
      <c r="E27" s="189"/>
      <c r="F27" s="189"/>
      <c r="G27" s="189"/>
      <c r="H27" s="138"/>
      <c r="I27" s="143"/>
      <c r="J27" s="141"/>
      <c r="K27" s="141"/>
      <c r="L27" s="141"/>
      <c r="M27" s="142"/>
      <c r="N27" s="15"/>
    </row>
    <row r="28" spans="1:14" ht="17.25" thickTop="1" thickBot="1" x14ac:dyDescent="0.3">
      <c r="A28" s="15"/>
      <c r="B28" s="188" t="s">
        <v>41</v>
      </c>
      <c r="C28" s="188"/>
      <c r="D28" s="188"/>
      <c r="E28" s="188"/>
      <c r="F28" s="188"/>
      <c r="G28" s="188"/>
      <c r="H28" s="6"/>
      <c r="I28" s="115"/>
      <c r="J28" s="112"/>
      <c r="K28" s="112"/>
      <c r="L28" s="112"/>
      <c r="M28" s="112"/>
    </row>
    <row r="29" spans="1:14" ht="16.5" thickTop="1" x14ac:dyDescent="0.25">
      <c r="B29" s="190" t="s">
        <v>45</v>
      </c>
      <c r="C29" s="192" t="s">
        <v>43</v>
      </c>
      <c r="D29" s="11">
        <v>60</v>
      </c>
      <c r="E29" s="215">
        <v>30</v>
      </c>
      <c r="F29" s="11">
        <v>60</v>
      </c>
      <c r="G29" s="197">
        <v>0</v>
      </c>
      <c r="H29" s="169">
        <v>0</v>
      </c>
      <c r="I29" s="129" t="s">
        <v>154</v>
      </c>
      <c r="J29" s="113">
        <f>H29/D29</f>
        <v>0</v>
      </c>
      <c r="K29" s="113">
        <f>E29*J29/100</f>
        <v>0</v>
      </c>
      <c r="L29" s="113">
        <f>H29/F29</f>
        <v>0</v>
      </c>
      <c r="M29" s="113">
        <f>G29*L29/100</f>
        <v>0</v>
      </c>
    </row>
    <row r="30" spans="1:14" ht="16.5" thickBot="1" x14ac:dyDescent="0.3">
      <c r="B30" s="204"/>
      <c r="C30" s="205"/>
      <c r="D30" s="108">
        <v>3</v>
      </c>
      <c r="E30" s="216"/>
      <c r="F30" s="108">
        <v>3</v>
      </c>
      <c r="G30" s="208"/>
      <c r="H30" s="170">
        <v>0</v>
      </c>
      <c r="I30" s="128" t="s">
        <v>163</v>
      </c>
      <c r="J30" s="113">
        <f>H30/D30</f>
        <v>0</v>
      </c>
      <c r="K30" s="113">
        <f>E30*J30/100</f>
        <v>0</v>
      </c>
      <c r="L30" s="113">
        <f>H30/F30</f>
        <v>0</v>
      </c>
      <c r="M30" s="113">
        <f>G30*L30/100</f>
        <v>0</v>
      </c>
    </row>
    <row r="31" spans="1:14" ht="15.75" thickTop="1" x14ac:dyDescent="0.25">
      <c r="B31" s="190" t="s">
        <v>46</v>
      </c>
      <c r="C31" s="192" t="s">
        <v>44</v>
      </c>
      <c r="D31" s="8">
        <v>30</v>
      </c>
      <c r="E31" s="12">
        <v>50</v>
      </c>
      <c r="F31" s="8">
        <v>20</v>
      </c>
      <c r="G31" s="38">
        <v>50</v>
      </c>
      <c r="H31" s="199">
        <v>0</v>
      </c>
      <c r="I31" s="119"/>
      <c r="J31" s="203">
        <f>IF(H31&gt;0,IF(H31/D31&lt;2,2,H31/D31),0)</f>
        <v>0</v>
      </c>
      <c r="K31" s="197">
        <f>E31*J31/100</f>
        <v>0</v>
      </c>
      <c r="L31" s="197">
        <f>H31/F31</f>
        <v>0</v>
      </c>
      <c r="M31" s="197">
        <f>G31*L31/100</f>
        <v>0</v>
      </c>
    </row>
    <row r="32" spans="1:14" ht="15.75" thickBot="1" x14ac:dyDescent="0.3">
      <c r="B32" s="204"/>
      <c r="C32" s="205"/>
      <c r="D32" s="109" t="s">
        <v>77</v>
      </c>
      <c r="E32" s="110"/>
      <c r="F32" s="109" t="s">
        <v>78</v>
      </c>
      <c r="G32" s="99"/>
      <c r="H32" s="209"/>
      <c r="I32" s="128" t="s">
        <v>154</v>
      </c>
      <c r="J32" s="203"/>
      <c r="K32" s="197"/>
      <c r="L32" s="197"/>
      <c r="M32" s="197"/>
    </row>
    <row r="33" spans="2:14" ht="17.25" thickTop="1" thickBot="1" x14ac:dyDescent="0.3">
      <c r="B33" s="19" t="s">
        <v>47</v>
      </c>
      <c r="C33" s="189" t="s">
        <v>158</v>
      </c>
      <c r="D33" s="189"/>
      <c r="E33" s="189"/>
      <c r="F33" s="189"/>
      <c r="G33" s="189"/>
      <c r="H33" s="138"/>
      <c r="I33" s="143"/>
      <c r="J33" s="141"/>
      <c r="K33" s="141"/>
      <c r="L33" s="143"/>
      <c r="M33" s="145"/>
      <c r="N33" s="15"/>
    </row>
    <row r="34" spans="2:14" ht="17.25" thickTop="1" thickBot="1" x14ac:dyDescent="0.3">
      <c r="B34" s="188" t="s">
        <v>48</v>
      </c>
      <c r="C34" s="188"/>
      <c r="D34" s="188"/>
      <c r="E34" s="188"/>
      <c r="F34" s="188"/>
      <c r="G34" s="188"/>
      <c r="H34" s="30"/>
      <c r="I34" s="115"/>
      <c r="J34" s="115"/>
      <c r="K34" s="115"/>
      <c r="L34" s="115"/>
      <c r="M34" s="115"/>
    </row>
    <row r="35" spans="2:14" ht="17.25" thickTop="1" thickBot="1" x14ac:dyDescent="0.3">
      <c r="B35" s="19" t="s">
        <v>49</v>
      </c>
      <c r="C35" s="189" t="s">
        <v>159</v>
      </c>
      <c r="D35" s="189"/>
      <c r="E35" s="189"/>
      <c r="F35" s="189"/>
      <c r="G35" s="189"/>
      <c r="H35" s="138"/>
      <c r="I35" s="143"/>
      <c r="J35" s="141"/>
      <c r="K35" s="141"/>
      <c r="L35" s="141"/>
      <c r="M35" s="142"/>
      <c r="N35" s="15"/>
    </row>
    <row r="36" spans="2:14" ht="30" customHeight="1" thickTop="1" thickBot="1" x14ac:dyDescent="0.3">
      <c r="B36" s="210" t="s">
        <v>160</v>
      </c>
      <c r="C36" s="210"/>
      <c r="D36" s="210"/>
      <c r="E36" s="210"/>
      <c r="F36" s="210"/>
      <c r="H36" s="139"/>
      <c r="I36" s="143"/>
      <c r="J36" s="141"/>
      <c r="K36" s="141"/>
      <c r="L36" s="141"/>
      <c r="M36" s="142"/>
    </row>
    <row r="37" spans="2:14" ht="15.75" thickTop="1" x14ac:dyDescent="0.25"/>
    <row r="38" spans="2:14" ht="15.75" x14ac:dyDescent="0.25">
      <c r="B38" s="13"/>
      <c r="I38" s="14"/>
    </row>
    <row r="39" spans="2:14" ht="15.75" x14ac:dyDescent="0.25">
      <c r="B39" s="13"/>
      <c r="I39" s="117"/>
    </row>
    <row r="40" spans="2:14" x14ac:dyDescent="0.25">
      <c r="I40" s="118"/>
    </row>
  </sheetData>
  <sheetProtection algorithmName="SHA-512" hashValue="kNA1S10Ufpg4oo3WxrDrPKmKUjowg/D+h6sAp1fUkkm2Q8n/ZiOgRgWhn1ZKKflDdwc+nCSRExUC7AwDMRmerQ==" saltValue="LLfr9Hn+ZuftPdCBk2X61g==" spinCount="100000" sheet="1" objects="1" scenarios="1" insertRows="0"/>
  <protectedRanges>
    <protectedRange algorithmName="SHA-512" hashValue="AunmdKe7ndStIphN+v9jh0NcFS1L56OZs+cmbAigVcT0GkaA07vfP6BonWcK4qza51aiu7UJZAATtmpUuKq4sQ==" saltValue="H2UhLl1m8g5gU3+b0UJ7JQ==" spinCount="100000" sqref="A1:XFD1048576" name="Bereich1"/>
  </protectedRanges>
  <mergeCells count="50">
    <mergeCell ref="B36:F36"/>
    <mergeCell ref="J3:M3"/>
    <mergeCell ref="B3:F3"/>
    <mergeCell ref="B4:G4"/>
    <mergeCell ref="M31:M32"/>
    <mergeCell ref="E29:E30"/>
    <mergeCell ref="G29:G30"/>
    <mergeCell ref="B31:B32"/>
    <mergeCell ref="C31:C32"/>
    <mergeCell ref="J31:J32"/>
    <mergeCell ref="K31:K32"/>
    <mergeCell ref="H31:H32"/>
    <mergeCell ref="L31:L32"/>
    <mergeCell ref="J19:J20"/>
    <mergeCell ref="K19:K20"/>
    <mergeCell ref="L19:L20"/>
    <mergeCell ref="M19:M20"/>
    <mergeCell ref="B29:B30"/>
    <mergeCell ref="C29:C30"/>
    <mergeCell ref="B19:B20"/>
    <mergeCell ref="C19:C20"/>
    <mergeCell ref="E19:E20"/>
    <mergeCell ref="G19:G20"/>
    <mergeCell ref="H19:H20"/>
    <mergeCell ref="B28:G28"/>
    <mergeCell ref="C27:G27"/>
    <mergeCell ref="H16:H17"/>
    <mergeCell ref="J16:J17"/>
    <mergeCell ref="K16:K17"/>
    <mergeCell ref="L16:L17"/>
    <mergeCell ref="M16:M17"/>
    <mergeCell ref="C33:G33"/>
    <mergeCell ref="B34:G34"/>
    <mergeCell ref="C35:G35"/>
    <mergeCell ref="B16:B17"/>
    <mergeCell ref="C16:C17"/>
    <mergeCell ref="E16:E17"/>
    <mergeCell ref="F16:F17"/>
    <mergeCell ref="G16:G17"/>
    <mergeCell ref="C21:G21"/>
    <mergeCell ref="B22:G22"/>
    <mergeCell ref="B23:G23"/>
    <mergeCell ref="B24:G24"/>
    <mergeCell ref="B25:G25"/>
    <mergeCell ref="B26:G26"/>
    <mergeCell ref="B9:B12"/>
    <mergeCell ref="B8:G8"/>
    <mergeCell ref="B14:G14"/>
    <mergeCell ref="B18:G18"/>
    <mergeCell ref="C13:G13"/>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M40"/>
  <sheetViews>
    <sheetView topLeftCell="A13" workbookViewId="0">
      <selection activeCell="C6" sqref="C6"/>
    </sheetView>
  </sheetViews>
  <sheetFormatPr baseColWidth="10" defaultRowHeight="15" x14ac:dyDescent="0.25"/>
  <cols>
    <col min="1" max="1" width="2.7109375" style="2" customWidth="1"/>
    <col min="2" max="2" width="44.5703125" style="2" customWidth="1"/>
    <col min="3" max="7" width="15.7109375" style="2" customWidth="1"/>
    <col min="8" max="8" width="19.85546875" style="2" customWidth="1"/>
    <col min="9" max="9" width="5.85546875" style="2" hidden="1" customWidth="1"/>
    <col min="10" max="10" width="16.7109375" style="2" hidden="1" customWidth="1"/>
    <col min="11" max="11" width="25.85546875" style="2" hidden="1" customWidth="1"/>
    <col min="12" max="12" width="36.28515625" style="2" hidden="1" customWidth="1"/>
    <col min="13" max="13" width="12.7109375" style="2" hidden="1" customWidth="1"/>
    <col min="14" max="15" width="11.42578125" style="2" customWidth="1"/>
    <col min="16" max="16384" width="11.42578125" style="2"/>
  </cols>
  <sheetData>
    <row r="1" spans="1:13" x14ac:dyDescent="0.25">
      <c r="D1" s="21"/>
      <c r="E1" s="21"/>
      <c r="F1" s="21"/>
      <c r="G1" s="21"/>
      <c r="H1" s="21"/>
      <c r="I1" s="21"/>
    </row>
    <row r="2" spans="1:13" ht="18.75" x14ac:dyDescent="0.3">
      <c r="B2" s="1" t="s">
        <v>92</v>
      </c>
      <c r="D2" s="21"/>
      <c r="E2" s="21"/>
      <c r="F2" s="21"/>
      <c r="G2" s="21"/>
      <c r="H2" s="21"/>
      <c r="I2" s="21"/>
    </row>
    <row r="4" spans="1:13" ht="15" customHeight="1" x14ac:dyDescent="0.25">
      <c r="A4" s="173"/>
      <c r="B4" s="173" t="s">
        <v>94</v>
      </c>
      <c r="C4" s="173"/>
      <c r="D4" s="173"/>
      <c r="E4" s="173"/>
      <c r="F4" s="225" t="s">
        <v>125</v>
      </c>
      <c r="G4" s="225"/>
    </row>
    <row r="5" spans="1:13" ht="15.75" thickBot="1" x14ac:dyDescent="0.3">
      <c r="A5" s="173"/>
      <c r="B5" s="173" t="s">
        <v>106</v>
      </c>
      <c r="C5" s="173"/>
      <c r="D5" s="173"/>
      <c r="E5" s="173"/>
      <c r="F5" s="225"/>
      <c r="G5" s="225"/>
    </row>
    <row r="6" spans="1:13" ht="20.25" thickTop="1" thickBot="1" x14ac:dyDescent="0.35">
      <c r="B6" s="171" t="s">
        <v>81</v>
      </c>
      <c r="F6" s="225"/>
      <c r="G6" s="225"/>
      <c r="H6" s="21"/>
      <c r="I6" s="21"/>
      <c r="J6" s="40" t="s">
        <v>115</v>
      </c>
    </row>
    <row r="7" spans="1:13" ht="7.5" customHeight="1" thickTop="1" thickBot="1" x14ac:dyDescent="0.3">
      <c r="F7" s="225"/>
      <c r="G7" s="225"/>
    </row>
    <row r="8" spans="1:13" x14ac:dyDescent="0.25">
      <c r="B8" s="25" t="s">
        <v>109</v>
      </c>
      <c r="C8" s="221">
        <f>VLOOKUP($B$6,Tabelle1[],2,FALSE)</f>
        <v>0.1</v>
      </c>
      <c r="D8" s="222"/>
      <c r="E8" s="22"/>
      <c r="F8" s="225"/>
      <c r="G8" s="225"/>
      <c r="J8" s="36" t="s">
        <v>13</v>
      </c>
      <c r="K8" s="36" t="s">
        <v>88</v>
      </c>
      <c r="L8" s="36" t="s">
        <v>87</v>
      </c>
      <c r="M8" s="36" t="s">
        <v>93</v>
      </c>
    </row>
    <row r="9" spans="1:13" x14ac:dyDescent="0.25">
      <c r="B9" s="26" t="s">
        <v>90</v>
      </c>
      <c r="C9" s="44" t="str">
        <f>VLOOKUP($B$6,Tabelle1[],3,FALSE)</f>
        <v>nur anstelle Reduktion aufgrund Lage</v>
      </c>
      <c r="D9" s="45"/>
      <c r="E9" s="22"/>
      <c r="F9" s="225"/>
      <c r="G9" s="225"/>
      <c r="J9" s="2" t="s">
        <v>80</v>
      </c>
      <c r="K9" s="21">
        <v>0.2</v>
      </c>
      <c r="L9" s="2" t="s">
        <v>91</v>
      </c>
      <c r="M9" s="21">
        <v>0.15</v>
      </c>
    </row>
    <row r="10" spans="1:13" ht="15.75" thickBot="1" x14ac:dyDescent="0.3">
      <c r="A10" s="23"/>
      <c r="B10" s="27" t="s">
        <v>111</v>
      </c>
      <c r="C10" s="223">
        <f>VLOOKUP($B$6,Tabelle1[],4,FALSE)</f>
        <v>0.15</v>
      </c>
      <c r="D10" s="224"/>
      <c r="E10" s="22"/>
      <c r="F10" s="225"/>
      <c r="G10" s="225"/>
      <c r="H10" s="21"/>
      <c r="I10" s="21"/>
      <c r="J10" s="2" t="s">
        <v>81</v>
      </c>
      <c r="K10" s="21">
        <v>0.1</v>
      </c>
      <c r="L10" s="2" t="s">
        <v>91</v>
      </c>
      <c r="M10" s="21">
        <v>0.15</v>
      </c>
    </row>
    <row r="11" spans="1:13" ht="15.75" thickBot="1" x14ac:dyDescent="0.3">
      <c r="D11" s="21"/>
      <c r="E11" s="21"/>
      <c r="F11" s="21"/>
      <c r="G11" s="21"/>
      <c r="H11" s="21"/>
      <c r="I11" s="21"/>
      <c r="J11" s="2" t="s">
        <v>82</v>
      </c>
      <c r="K11" s="21">
        <v>0.05</v>
      </c>
      <c r="L11" s="2" t="s">
        <v>91</v>
      </c>
      <c r="M11" s="21">
        <v>0.15</v>
      </c>
    </row>
    <row r="12" spans="1:13" ht="19.5" customHeight="1" x14ac:dyDescent="0.25">
      <c r="A12" s="6"/>
      <c r="B12" s="218" t="s">
        <v>103</v>
      </c>
      <c r="C12" s="219"/>
      <c r="D12" s="219"/>
      <c r="E12" s="219"/>
      <c r="F12" s="219"/>
      <c r="G12" s="220"/>
      <c r="H12" s="28"/>
      <c r="I12" s="24"/>
      <c r="J12" s="2" t="s">
        <v>83</v>
      </c>
      <c r="K12" s="21">
        <v>0.5</v>
      </c>
      <c r="L12" s="2" t="s">
        <v>85</v>
      </c>
      <c r="M12" s="21">
        <v>0</v>
      </c>
    </row>
    <row r="13" spans="1:13" ht="30" x14ac:dyDescent="0.25">
      <c r="A13" s="6"/>
      <c r="B13" s="52"/>
      <c r="C13" s="63" t="s">
        <v>108</v>
      </c>
      <c r="D13" s="63" t="s">
        <v>104</v>
      </c>
      <c r="E13" s="63" t="s">
        <v>104</v>
      </c>
      <c r="F13" s="63" t="s">
        <v>105</v>
      </c>
      <c r="G13" s="33" t="s">
        <v>105</v>
      </c>
      <c r="H13" s="6"/>
      <c r="I13" s="24"/>
      <c r="J13" s="2" t="s">
        <v>84</v>
      </c>
      <c r="K13" s="21">
        <v>0.5</v>
      </c>
      <c r="L13" s="2" t="s">
        <v>85</v>
      </c>
      <c r="M13" s="21">
        <v>0</v>
      </c>
    </row>
    <row r="14" spans="1:13" ht="15.75" thickBot="1" x14ac:dyDescent="0.3">
      <c r="A14" s="6"/>
      <c r="B14" s="50" t="s">
        <v>110</v>
      </c>
      <c r="C14" s="56">
        <v>0</v>
      </c>
      <c r="D14" s="62">
        <f>C8</f>
        <v>0.1</v>
      </c>
      <c r="E14" s="65" t="str">
        <f>IF(E15="","(eigener Wert)",1-E15/$C$15)</f>
        <v>(eigener Wert)</v>
      </c>
      <c r="F14" s="62">
        <f>C10</f>
        <v>0.15</v>
      </c>
      <c r="G14" s="66" t="str">
        <f>IF(G15="","(eigener Wert)",1-G15/$C$15)</f>
        <v>(eigener Wert)</v>
      </c>
      <c r="H14" s="6"/>
      <c r="I14" s="24"/>
      <c r="J14" s="2" t="s">
        <v>86</v>
      </c>
      <c r="K14" s="21">
        <v>0</v>
      </c>
      <c r="L14" s="2" t="s">
        <v>89</v>
      </c>
      <c r="M14" s="21">
        <v>0.15</v>
      </c>
    </row>
    <row r="15" spans="1:13" ht="16.5" thickTop="1" thickBot="1" x14ac:dyDescent="0.3">
      <c r="B15" s="51" t="s">
        <v>100</v>
      </c>
      <c r="C15" s="57">
        <f>'1 Stellplatzbedarf'!J5</f>
        <v>0</v>
      </c>
      <c r="D15" s="64">
        <f>ROUND((1-VLOOKUP($B$6,Tabelle1[],2,FALSE))*$C15,0)</f>
        <v>0</v>
      </c>
      <c r="E15" s="148"/>
      <c r="F15" s="34">
        <f>ROUND((1-VLOOKUP($B$6,Tabelle1[],4,FALSE))*$C15,0)</f>
        <v>0</v>
      </c>
      <c r="G15" s="148"/>
      <c r="H15" s="15"/>
    </row>
    <row r="16" spans="1:13" ht="15.75" thickTop="1" x14ac:dyDescent="0.25">
      <c r="B16" s="52" t="s">
        <v>102</v>
      </c>
      <c r="C16" s="58">
        <f>'1 Stellplatzbedarf'!K5</f>
        <v>0</v>
      </c>
      <c r="D16" s="61">
        <f>ROUND((1-VLOOKUP($B$6,Tabelle1[],2,FALSE))*$C16,0)</f>
        <v>0</v>
      </c>
      <c r="E16" s="58" t="str">
        <f>IF(E15="","---",IF($E$15&gt;=$D$15,ROUND($E$15/$C$15*$C$16,0),"FEHLER"))</f>
        <v>---</v>
      </c>
      <c r="F16" s="58">
        <f>ROUND((1-VLOOKUP($B$6,Tabelle1[],4,FALSE))*$C16,0)</f>
        <v>0</v>
      </c>
      <c r="G16" s="39" t="str">
        <f>IF(G15="","---",IF($G$15&gt;=$F$15,ROUND($G$15/$C$15*$C$16,0),"FEHLER"))</f>
        <v>---</v>
      </c>
    </row>
    <row r="17" spans="1:13" x14ac:dyDescent="0.25">
      <c r="B17" s="53" t="s">
        <v>114</v>
      </c>
      <c r="C17" s="59">
        <f>IF(C15&lt;20,0,ROUNDUP(C15*0.25,0))</f>
        <v>0</v>
      </c>
      <c r="D17" s="59">
        <f>IF(D15&lt;20,0,ROUNDUP(D15*0.25,0))</f>
        <v>0</v>
      </c>
      <c r="E17" s="59" t="str">
        <f>IF(E15="","---",IF(E16="FEHLER","FEHLER",IF(E15&lt;20,0,ROUNDUP(E15*0.25,0))))</f>
        <v>---</v>
      </c>
      <c r="F17" s="59">
        <f>IF(F15&lt;20,0,ROUNDUP(F15*0.25,0))</f>
        <v>0</v>
      </c>
      <c r="G17" s="49" t="str">
        <f>IF(G15="","---",IF(G16="FEHLER","FEHLER",IF(G15&lt;20,0,ROUNDUP(G15*0.25,0))))</f>
        <v>---</v>
      </c>
      <c r="J17" s="36"/>
      <c r="K17" s="36"/>
    </row>
    <row r="18" spans="1:13" x14ac:dyDescent="0.25">
      <c r="B18" s="54" t="s">
        <v>107</v>
      </c>
      <c r="C18" s="60">
        <f>'1 Stellplatzbedarf'!L5</f>
        <v>0</v>
      </c>
      <c r="D18" s="60">
        <f>C18</f>
        <v>0</v>
      </c>
      <c r="E18" s="58" t="str">
        <f>IF(E15="","---",IF($E$15&gt;=$D$15,D18,"FEHLER"))</f>
        <v>---</v>
      </c>
      <c r="F18" s="60">
        <f>IF($C$15=F15,$C$18,$C$18+2*ROUNDDOWN(0.15*$C$15,0))</f>
        <v>0</v>
      </c>
      <c r="G18" s="35">
        <f>IF(G16="FEHLER","FEHLER",IF(G15&gt;=C15,C18,IF(G15&gt;=F15,$C$18+2*ROUND((1-G15/C15)*$C$15,0),"---")))</f>
        <v>0</v>
      </c>
      <c r="J18" s="176">
        <v>1</v>
      </c>
      <c r="K18" s="181"/>
      <c r="L18" s="175"/>
      <c r="M18" s="175"/>
    </row>
    <row r="19" spans="1:13" x14ac:dyDescent="0.25">
      <c r="B19" s="55" t="s">
        <v>112</v>
      </c>
      <c r="C19" s="61">
        <f>ROUND(C18*0.1,0)</f>
        <v>0</v>
      </c>
      <c r="D19" s="61">
        <f>ROUND(D18*0.1,0)</f>
        <v>0</v>
      </c>
      <c r="E19" s="172" t="str">
        <f>IF(E15="","---",IF(E18="FEHLER","FEHLER",ROUND(E18*0.1,0)))</f>
        <v>---</v>
      </c>
      <c r="F19" s="61">
        <f>ROUND(F18*0.1,0)</f>
        <v>0</v>
      </c>
      <c r="G19" s="39" t="str">
        <f>IF(G15="","---",IF(G18="FEHLER","FEHLER",ROUND(G18*0.1,0)))</f>
        <v>---</v>
      </c>
      <c r="H19" s="29"/>
      <c r="J19" s="182" t="s">
        <v>136</v>
      </c>
      <c r="K19" s="183" t="s">
        <v>137</v>
      </c>
      <c r="L19" s="182" t="s">
        <v>138</v>
      </c>
      <c r="M19" s="182" t="s">
        <v>139</v>
      </c>
    </row>
    <row r="20" spans="1:13" x14ac:dyDescent="0.25">
      <c r="B20" s="55" t="s">
        <v>113</v>
      </c>
      <c r="C20" s="61">
        <f>IF(C18&lt;20,0,ROUNDUP(C18*0.75,0))</f>
        <v>0</v>
      </c>
      <c r="D20" s="61">
        <f>IF(D18&lt;20,0,ROUNDUP(D18*0.75,0))</f>
        <v>0</v>
      </c>
      <c r="E20" s="61" t="str">
        <f>IF(E15="","---",IF(E19="FEHLER","FEHLER",IF(E18&lt;20,0,ROUNDUP(E18*0.75,0))))</f>
        <v>---</v>
      </c>
      <c r="F20" s="61">
        <f>IF(F18&lt;20,0,ROUNDUP(F18*0.75,0))</f>
        <v>0</v>
      </c>
      <c r="G20" s="39" t="str">
        <f>IF(G15="","---",IF(G19="FEHLER","FEHLER",IF(G18&lt;20,0,ROUNDUP(G18*0.75,0))))</f>
        <v>---</v>
      </c>
      <c r="J20" s="174">
        <v>1</v>
      </c>
      <c r="K20" s="175" t="s">
        <v>129</v>
      </c>
      <c r="L20" s="175">
        <f>C15-C34</f>
        <v>0</v>
      </c>
      <c r="M20" s="175">
        <f>IF('3 KostenberechMobikonzept'!$B$3&lt;'3 KostenberechMobikonzept'!$F$44,'2 Stellplatzreduktion'!C$34,C$15-'3 KostenberechMobikonzept'!F44)</f>
        <v>0</v>
      </c>
    </row>
    <row r="21" spans="1:13" ht="17.25" customHeight="1" thickBot="1" x14ac:dyDescent="0.3">
      <c r="B21" s="67" t="s">
        <v>102</v>
      </c>
      <c r="C21" s="68">
        <f>'1 Stellplatzbedarf'!M5</f>
        <v>0</v>
      </c>
      <c r="D21" s="68">
        <f>C21</f>
        <v>0</v>
      </c>
      <c r="E21" s="68" t="str">
        <f>IF(E15="","---",IF(E19="FEHLER","FEHLER",IF($E$15&gt;=$D$15,D21,"---")))</f>
        <v>---</v>
      </c>
      <c r="F21" s="69">
        <f>IF(C21=0,0,ROUND($F$18/$C$18*$C$21,0))</f>
        <v>0</v>
      </c>
      <c r="G21" s="70" t="str">
        <f>IF(G15="","---",IF(G19="FEHLER","FEHLER",IF($G$15&gt;=$F$15,ROUND($G$18/$C$18*$C$21,0),"---")))</f>
        <v>---</v>
      </c>
      <c r="H21" s="29"/>
      <c r="J21" s="174">
        <v>2</v>
      </c>
      <c r="K21" s="176" t="s">
        <v>151</v>
      </c>
      <c r="L21" s="175">
        <f>D15-D34</f>
        <v>0</v>
      </c>
      <c r="M21" s="175">
        <f>IF('3 KostenberechMobikonzept'!$B$3&lt;'3 KostenberechMobikonzept'!$F$44,'2 Stellplatzreduktion'!D$34,D$15-'3 KostenberechMobikonzept'!F44)</f>
        <v>0</v>
      </c>
    </row>
    <row r="22" spans="1:13" ht="10.5" customHeight="1" thickBot="1" x14ac:dyDescent="0.3">
      <c r="B22" s="71"/>
      <c r="C22" s="72"/>
      <c r="D22" s="72"/>
      <c r="E22" s="72"/>
      <c r="F22" s="72"/>
      <c r="G22" s="72"/>
      <c r="H22" s="15"/>
      <c r="J22" s="174">
        <v>3</v>
      </c>
      <c r="K22" s="176" t="s">
        <v>118</v>
      </c>
      <c r="L22" s="175" t="e">
        <f>E15-E34</f>
        <v>#VALUE!</v>
      </c>
      <c r="M22" s="175" t="str">
        <f>IF('3 KostenberechMobikonzept'!$B$3&lt;'3 KostenberechMobikonzept'!$F$44,'2 Stellplatzreduktion'!E$34,E$15-'3 KostenberechMobikonzept'!F44)</f>
        <v>---</v>
      </c>
    </row>
    <row r="23" spans="1:13" ht="16.5" thickTop="1" thickBot="1" x14ac:dyDescent="0.3">
      <c r="B23" s="2" t="s">
        <v>127</v>
      </c>
      <c r="C23" s="178"/>
      <c r="D23" s="179"/>
      <c r="E23" s="179"/>
      <c r="F23" s="179"/>
      <c r="G23" s="180"/>
      <c r="J23" s="174">
        <v>4</v>
      </c>
      <c r="K23" s="176" t="s">
        <v>152</v>
      </c>
      <c r="L23" s="175">
        <f>F15-F34</f>
        <v>0</v>
      </c>
      <c r="M23" s="175">
        <f>IF('3 KostenberechMobikonzept'!$B$3&lt;'3 KostenberechMobikonzept'!$F$44,'2 Stellplatzreduktion'!F$34,F$15-'3 KostenberechMobikonzept'!F44)</f>
        <v>0</v>
      </c>
    </row>
    <row r="24" spans="1:13" ht="15.75" thickTop="1" x14ac:dyDescent="0.25">
      <c r="B24" s="2" t="s">
        <v>198</v>
      </c>
      <c r="J24" s="174">
        <v>5</v>
      </c>
      <c r="K24" s="177" t="s">
        <v>119</v>
      </c>
      <c r="L24" s="175" t="e">
        <f>G15-G34</f>
        <v>#VALUE!</v>
      </c>
      <c r="M24" s="175" t="str">
        <f>IF('3 KostenberechMobikonzept'!$B$3&lt;'3 KostenberechMobikonzept'!$F$44,'2 Stellplatzreduktion'!G$34,G$15-'3 KostenberechMobikonzept'!F44)</f>
        <v>---</v>
      </c>
    </row>
    <row r="25" spans="1:13" ht="15" customHeight="1" x14ac:dyDescent="0.25">
      <c r="B25" s="74"/>
      <c r="E25" s="30"/>
      <c r="F25" s="30"/>
      <c r="G25" s="30"/>
      <c r="J25" s="42"/>
    </row>
    <row r="26" spans="1:13" x14ac:dyDescent="0.25">
      <c r="E26" s="30"/>
      <c r="F26" s="30"/>
      <c r="G26" s="30"/>
    </row>
    <row r="27" spans="1:13" ht="19.5" customHeight="1" x14ac:dyDescent="0.25">
      <c r="A27" s="15"/>
      <c r="B27" s="74"/>
      <c r="C27" s="15"/>
      <c r="E27" s="30"/>
      <c r="F27" s="30"/>
      <c r="G27" s="30"/>
    </row>
    <row r="28" spans="1:13" ht="21" customHeight="1" x14ac:dyDescent="0.25">
      <c r="E28" s="30"/>
      <c r="F28" s="30"/>
      <c r="G28" s="30"/>
      <c r="H28" s="37"/>
    </row>
    <row r="29" spans="1:13" ht="15" customHeight="1" x14ac:dyDescent="0.25">
      <c r="E29" s="30"/>
      <c r="F29" s="30"/>
      <c r="G29" s="30"/>
    </row>
    <row r="30" spans="1:13" ht="15.75" thickBot="1" x14ac:dyDescent="0.3">
      <c r="B30" s="15"/>
      <c r="C30" s="31"/>
      <c r="D30" s="31"/>
      <c r="E30" s="31"/>
      <c r="F30" s="31"/>
      <c r="G30" s="31"/>
    </row>
    <row r="31" spans="1:13" ht="21" customHeight="1" x14ac:dyDescent="0.25">
      <c r="A31" s="15"/>
      <c r="B31" s="218" t="s">
        <v>145</v>
      </c>
      <c r="C31" s="219"/>
      <c r="D31" s="219"/>
      <c r="E31" s="219"/>
      <c r="F31" s="219"/>
      <c r="G31" s="220"/>
      <c r="J31" s="2" t="s">
        <v>116</v>
      </c>
      <c r="K31" s="2" t="s">
        <v>117</v>
      </c>
    </row>
    <row r="32" spans="1:13" x14ac:dyDescent="0.25">
      <c r="A32" s="15"/>
      <c r="B32" s="50" t="s">
        <v>110</v>
      </c>
      <c r="C32" s="56">
        <v>0.3</v>
      </c>
      <c r="D32" s="56">
        <f>C32</f>
        <v>0.3</v>
      </c>
      <c r="E32" s="56">
        <f>D32</f>
        <v>0.3</v>
      </c>
      <c r="F32" s="56">
        <f>E32</f>
        <v>0.3</v>
      </c>
      <c r="G32" s="43">
        <f>F32</f>
        <v>0.3</v>
      </c>
    </row>
    <row r="33" spans="1:10" x14ac:dyDescent="0.25">
      <c r="A33" s="15"/>
      <c r="B33" s="87" t="s">
        <v>135</v>
      </c>
      <c r="C33" s="90">
        <f>C15-C34</f>
        <v>0</v>
      </c>
      <c r="D33" s="90">
        <f>D15-D34</f>
        <v>0</v>
      </c>
      <c r="E33" s="90" t="str">
        <f>IF(E15="","---",IF(E18="FEHLER","FEHLER",E15-E34))</f>
        <v>---</v>
      </c>
      <c r="F33" s="90">
        <f>F15-F34</f>
        <v>0</v>
      </c>
      <c r="G33" s="86" t="str">
        <f>IF(E15="","---",IF(E18="FEHLER","FEHLER",G15-G34))</f>
        <v>---</v>
      </c>
    </row>
    <row r="34" spans="1:10" x14ac:dyDescent="0.25">
      <c r="A34" s="15"/>
      <c r="B34" s="88" t="s">
        <v>100</v>
      </c>
      <c r="C34" s="60">
        <f>ROUNDUP(C15*0.7,0)</f>
        <v>0</v>
      </c>
      <c r="D34" s="60">
        <f>ROUNDUP(D15*0.7,0)</f>
        <v>0</v>
      </c>
      <c r="E34" s="60" t="str">
        <f>IF(E15="","---",IF(E18="FEHLER","FEHLER",ROUNDUP(E15*0.7,0)))</f>
        <v>---</v>
      </c>
      <c r="F34" s="60">
        <f>ROUNDUP(F15*0.7,0)</f>
        <v>0</v>
      </c>
      <c r="G34" s="35" t="str">
        <f>IF(G15="","---",IF(G18="FEHLER","FEHLER",ROUNDUP(G15*0.7,0)))</f>
        <v>---</v>
      </c>
    </row>
    <row r="35" spans="1:10" x14ac:dyDescent="0.25">
      <c r="A35" s="15"/>
      <c r="B35" s="52" t="s">
        <v>102</v>
      </c>
      <c r="C35" s="58" t="e">
        <f>ROUND(C34/C15*C16,0)</f>
        <v>#DIV/0!</v>
      </c>
      <c r="D35" s="61" t="e">
        <f>ROUND((1-VLOOKUP($B$6,Tabelle1[],2,FALSE))*$C35,0)</f>
        <v>#DIV/0!</v>
      </c>
      <c r="E35" s="58" t="str">
        <f>IF(E15="","---",IF($E$15&gt;=$D$15,ROUND($E$34/$C$34*$C$35,0),"FEHLER"))</f>
        <v>---</v>
      </c>
      <c r="F35" s="58" t="e">
        <f>ROUND((1-VLOOKUP($B$6,Tabelle1[],4,FALSE))*$C35,0)</f>
        <v>#DIV/0!</v>
      </c>
      <c r="G35" s="39" t="str">
        <f>IF($G$15="","---",IF($G$15&gt;=$F$15,ROUND($G$34/$C$34*$C$35,0),"FEHLER"))</f>
        <v>---</v>
      </c>
    </row>
    <row r="36" spans="1:10" ht="15.75" thickBot="1" x14ac:dyDescent="0.3">
      <c r="A36" s="15"/>
      <c r="B36" s="89" t="s">
        <v>114</v>
      </c>
      <c r="C36" s="91">
        <f>IF(C34&lt;20,0,ROUNDUP(C34*0.25,0))</f>
        <v>0</v>
      </c>
      <c r="D36" s="91">
        <f>IF(D34&lt;20,0,ROUNDUP(D34*0.25,0))</f>
        <v>0</v>
      </c>
      <c r="E36" s="91" t="str">
        <f>IF($E$15="","---",IF(E35="FEHLER","FEHLER",IF(E34&lt;20,0,ROUNDUP(E34*0.25,0))))</f>
        <v>---</v>
      </c>
      <c r="F36" s="91">
        <f>IF(F34&lt;20,0,ROUNDUP(F34*0.25,0))</f>
        <v>0</v>
      </c>
      <c r="G36" s="41" t="str">
        <f>IF($G$15="","---",IF(G35="FEHLER","FEHLER",IF(G34&lt;20,0,ROUNDUP(G34*0.25,0))))</f>
        <v>---</v>
      </c>
    </row>
    <row r="38" spans="1:10" ht="15.75" thickBot="1" x14ac:dyDescent="0.3">
      <c r="B38" s="2" t="s">
        <v>128</v>
      </c>
    </row>
    <row r="39" spans="1:10" ht="16.5" thickTop="1" thickBot="1" x14ac:dyDescent="0.3">
      <c r="B39" s="2" t="s">
        <v>153</v>
      </c>
      <c r="E39" s="149" t="s">
        <v>126</v>
      </c>
      <c r="J39" s="175" t="b">
        <v>0</v>
      </c>
    </row>
    <row r="40" spans="1:10" ht="29.25" customHeight="1" thickTop="1" x14ac:dyDescent="0.25">
      <c r="B40" s="217" t="str">
        <f>IF(J39=TRUE,"Wenn Sie ein Mobilitätskonzept erstellen wollen, fahren Sie bitte mit dem folgenden Tabellenblatt fort.","Wenn Sie kein Mobilitätskonzept erstellen wollen, sind Sie mit der Stellplatzermittlung jetzt fertig. Nutzen Sie die für Sie zutreffenden Werte aus obenstehender Tabelle für Ihren Bauantrag.")</f>
        <v>Wenn Sie kein Mobilitätskonzept erstellen wollen, sind Sie mit der Stellplatzermittlung jetzt fertig. Nutzen Sie die für Sie zutreffenden Werte aus obenstehender Tabelle für Ihren Bauantrag.</v>
      </c>
      <c r="C40" s="217"/>
      <c r="D40" s="217"/>
      <c r="E40" s="217"/>
      <c r="F40" s="217"/>
      <c r="G40" s="217"/>
    </row>
  </sheetData>
  <sheetProtection algorithmName="SHA-512" hashValue="Eeb9ccrKFn7rv5W/oEpCr2YAyjLX+B30rl5BWZhplQZfE0yrkkOaLD5FYEV3f899qf5d5TLCAvXTYDMg90NGPw==" saltValue="fpD2TVQtyfkv6xb8Bfkytg==" spinCount="100000" sheet="1" objects="1" scenarios="1"/>
  <protectedRanges>
    <protectedRange sqref="E15 G15" name="Eigener Wert"/>
    <protectedRange sqref="C23:G23" name="Auswahlelemente"/>
  </protectedRanges>
  <mergeCells count="6">
    <mergeCell ref="B40:G40"/>
    <mergeCell ref="B31:G31"/>
    <mergeCell ref="C8:D8"/>
    <mergeCell ref="C10:D10"/>
    <mergeCell ref="F4:G10"/>
    <mergeCell ref="B12:G12"/>
  </mergeCells>
  <conditionalFormatting sqref="E14">
    <cfRule type="cellIs" dxfId="31" priority="16" operator="notBetween">
      <formula>$D$14</formula>
      <formula>0</formula>
    </cfRule>
  </conditionalFormatting>
  <conditionalFormatting sqref="G14">
    <cfRule type="cellIs" dxfId="30" priority="15" operator="notBetween">
      <formula>$F$14</formula>
      <formula>0</formula>
    </cfRule>
  </conditionalFormatting>
  <conditionalFormatting sqref="E15">
    <cfRule type="cellIs" dxfId="29" priority="14" operator="between">
      <formula>0</formula>
      <formula>$D$15</formula>
    </cfRule>
  </conditionalFormatting>
  <conditionalFormatting sqref="G15">
    <cfRule type="cellIs" dxfId="28" priority="13" operator="between">
      <formula>0</formula>
      <formula>$F$15</formula>
    </cfRule>
  </conditionalFormatting>
  <conditionalFormatting sqref="C13:C21 C23">
    <cfRule type="expression" dxfId="27" priority="12">
      <formula>$J$18=1</formula>
    </cfRule>
  </conditionalFormatting>
  <conditionalFormatting sqref="D13:D21 D23">
    <cfRule type="expression" dxfId="26" priority="11">
      <formula>$J$18=2</formula>
    </cfRule>
  </conditionalFormatting>
  <conditionalFormatting sqref="E13:E14 E16:E21 E23">
    <cfRule type="expression" dxfId="25" priority="10">
      <formula>$J$18=3</formula>
    </cfRule>
  </conditionalFormatting>
  <conditionalFormatting sqref="F13:F21 F23">
    <cfRule type="expression" dxfId="24" priority="9">
      <formula>$J$18=4</formula>
    </cfRule>
  </conditionalFormatting>
  <conditionalFormatting sqref="G13:G14 G16:G21 G23">
    <cfRule type="expression" dxfId="23" priority="8">
      <formula>$J$18=5</formula>
    </cfRule>
  </conditionalFormatting>
  <conditionalFormatting sqref="G32:G36">
    <cfRule type="expression" dxfId="22" priority="5">
      <formula>AND($J$18=5,$J$39=TRUE)</formula>
    </cfRule>
  </conditionalFormatting>
  <conditionalFormatting sqref="F32:F36">
    <cfRule type="expression" dxfId="21" priority="4">
      <formula>AND($J$18=4,$J$39=TRUE)</formula>
    </cfRule>
  </conditionalFormatting>
  <conditionalFormatting sqref="E32:E36">
    <cfRule type="expression" dxfId="20" priority="3">
      <formula>AND($J$18=3,$J$39=TRUE)</formula>
    </cfRule>
  </conditionalFormatting>
  <conditionalFormatting sqref="D32:D36">
    <cfRule type="expression" dxfId="19" priority="2">
      <formula>AND($J$18=2,$J$39=TRUE)</formula>
    </cfRule>
  </conditionalFormatting>
  <conditionalFormatting sqref="C32:C36">
    <cfRule type="expression" dxfId="18" priority="1">
      <formula>AND($J$18=1,$J$39=TRUE)</formula>
    </cfRule>
  </conditionalFormatting>
  <dataValidations count="3">
    <dataValidation type="list" showInputMessage="1" showErrorMessage="1" errorTitle="ungültige Eingabe!" error="Bitte wählen Sie aus dem Dropdown-Menü." promptTitle="bitte wählen" prompt="Klick auf Pfeil rechts" sqref="B6:B7">
      <formula1>$J$9:$J$14</formula1>
    </dataValidation>
    <dataValidation type="whole" errorStyle="information" operator="greaterThanOrEqual" allowBlank="1" showInputMessage="1" showErrorMessage="1" errorTitle="Wert nicht möglich" error="Die Anzahl herzustellender Stellplätze muss eine ganze Zahl sein und mindestens dem Wert in der Spalte links daneben entsprechen." promptTitle="Stellplatzanzahl" prompt="eigenen Wert eingeben" sqref="E15">
      <formula1>D15</formula1>
    </dataValidation>
    <dataValidation type="whole" errorStyle="information" operator="greaterThanOrEqual" allowBlank="1" showInputMessage="1" showErrorMessage="1" errorTitle="Wert nicht möglich" error="Die Anzahl herzustellender Stellplätze muss eine ganze Zahl sein und mindestens dem Wert in der Spalte links daneben entsprechen." promptTitle="Stellplatzanzahl" prompt="eigenen Wert eingeben" sqref="G15">
      <formula1>F15</formula1>
    </dataValidation>
  </dataValidation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53" r:id="rId4" name="Option Button 33">
              <controlPr locked="0" defaultSize="0" autoFill="0" autoLine="0" autoPict="0">
                <anchor moveWithCells="1">
                  <from>
                    <xdr:col>2</xdr:col>
                    <xdr:colOff>428625</xdr:colOff>
                    <xdr:row>22</xdr:row>
                    <xdr:rowOff>0</xdr:rowOff>
                  </from>
                  <to>
                    <xdr:col>2</xdr:col>
                    <xdr:colOff>657225</xdr:colOff>
                    <xdr:row>23</xdr:row>
                    <xdr:rowOff>19050</xdr:rowOff>
                  </to>
                </anchor>
              </controlPr>
            </control>
          </mc:Choice>
        </mc:AlternateContent>
        <mc:AlternateContent xmlns:mc="http://schemas.openxmlformats.org/markup-compatibility/2006">
          <mc:Choice Requires="x14">
            <control shapeId="5154" r:id="rId5" name="Option Button 34">
              <controlPr locked="0" defaultSize="0" autoFill="0" autoLine="0" autoPict="0">
                <anchor moveWithCells="1">
                  <from>
                    <xdr:col>3</xdr:col>
                    <xdr:colOff>390525</xdr:colOff>
                    <xdr:row>22</xdr:row>
                    <xdr:rowOff>0</xdr:rowOff>
                  </from>
                  <to>
                    <xdr:col>3</xdr:col>
                    <xdr:colOff>619125</xdr:colOff>
                    <xdr:row>23</xdr:row>
                    <xdr:rowOff>19050</xdr:rowOff>
                  </to>
                </anchor>
              </controlPr>
            </control>
          </mc:Choice>
        </mc:AlternateContent>
        <mc:AlternateContent xmlns:mc="http://schemas.openxmlformats.org/markup-compatibility/2006">
          <mc:Choice Requires="x14">
            <control shapeId="5155" r:id="rId6" name="Option Button 35">
              <controlPr locked="0" defaultSize="0" autoFill="0" autoLine="0" autoPict="0">
                <anchor moveWithCells="1">
                  <from>
                    <xdr:col>4</xdr:col>
                    <xdr:colOff>390525</xdr:colOff>
                    <xdr:row>22</xdr:row>
                    <xdr:rowOff>0</xdr:rowOff>
                  </from>
                  <to>
                    <xdr:col>4</xdr:col>
                    <xdr:colOff>619125</xdr:colOff>
                    <xdr:row>23</xdr:row>
                    <xdr:rowOff>19050</xdr:rowOff>
                  </to>
                </anchor>
              </controlPr>
            </control>
          </mc:Choice>
        </mc:AlternateContent>
        <mc:AlternateContent xmlns:mc="http://schemas.openxmlformats.org/markup-compatibility/2006">
          <mc:Choice Requires="x14">
            <control shapeId="5156" r:id="rId7" name="Option Button 36">
              <controlPr locked="0" defaultSize="0" autoFill="0" autoLine="0" autoPict="0">
                <anchor moveWithCells="1">
                  <from>
                    <xdr:col>5</xdr:col>
                    <xdr:colOff>381000</xdr:colOff>
                    <xdr:row>22</xdr:row>
                    <xdr:rowOff>0</xdr:rowOff>
                  </from>
                  <to>
                    <xdr:col>5</xdr:col>
                    <xdr:colOff>609600</xdr:colOff>
                    <xdr:row>23</xdr:row>
                    <xdr:rowOff>19050</xdr:rowOff>
                  </to>
                </anchor>
              </controlPr>
            </control>
          </mc:Choice>
        </mc:AlternateContent>
        <mc:AlternateContent xmlns:mc="http://schemas.openxmlformats.org/markup-compatibility/2006">
          <mc:Choice Requires="x14">
            <control shapeId="5157" r:id="rId8" name="Option Button 37">
              <controlPr locked="0" defaultSize="0" autoFill="0" autoLine="0" autoPict="0">
                <anchor moveWithCells="1">
                  <from>
                    <xdr:col>6</xdr:col>
                    <xdr:colOff>361950</xdr:colOff>
                    <xdr:row>22</xdr:row>
                    <xdr:rowOff>0</xdr:rowOff>
                  </from>
                  <to>
                    <xdr:col>6</xdr:col>
                    <xdr:colOff>590550</xdr:colOff>
                    <xdr:row>23</xdr:row>
                    <xdr:rowOff>19050</xdr:rowOff>
                  </to>
                </anchor>
              </controlPr>
            </control>
          </mc:Choice>
        </mc:AlternateContent>
        <mc:AlternateContent xmlns:mc="http://schemas.openxmlformats.org/markup-compatibility/2006">
          <mc:Choice Requires="x14">
            <control shapeId="5175" r:id="rId9" name="Check Box 55">
              <controlPr locked="0" defaultSize="0" autoFill="0" autoLine="0" autoPict="0">
                <anchor moveWithCells="1">
                  <from>
                    <xdr:col>4</xdr:col>
                    <xdr:colOff>0</xdr:colOff>
                    <xdr:row>38</xdr:row>
                    <xdr:rowOff>0</xdr:rowOff>
                  </from>
                  <to>
                    <xdr:col>5</xdr:col>
                    <xdr:colOff>0</xdr:colOff>
                    <xdr:row>38</xdr:row>
                    <xdr:rowOff>190500</xdr:rowOff>
                  </to>
                </anchor>
              </controlPr>
            </control>
          </mc:Choice>
        </mc:AlternateContent>
      </controls>
    </mc:Choice>
  </mc:AlternateContent>
  <tableParts count="3">
    <tablePart r:id="rId10"/>
    <tablePart r:id="rId11"/>
    <tablePart r:id="rId1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B2:I53"/>
  <sheetViews>
    <sheetView topLeftCell="A4" workbookViewId="0">
      <selection activeCell="F40" sqref="F40"/>
    </sheetView>
  </sheetViews>
  <sheetFormatPr baseColWidth="10" defaultRowHeight="15" x14ac:dyDescent="0.25"/>
  <cols>
    <col min="1" max="1" width="2.7109375" style="2" customWidth="1"/>
    <col min="2" max="2" width="4.7109375" style="2" customWidth="1"/>
    <col min="3" max="3" width="7.7109375" style="2" bestFit="1" customWidth="1"/>
    <col min="4" max="4" width="58" style="2" customWidth="1"/>
    <col min="5" max="5" width="26.140625" style="2" customWidth="1"/>
    <col min="6" max="6" width="12" style="2" bestFit="1" customWidth="1"/>
    <col min="7" max="7" width="2" style="2" bestFit="1" customWidth="1"/>
    <col min="8" max="8" width="14" style="2" customWidth="1"/>
    <col min="9" max="9" width="14.140625" style="2" customWidth="1"/>
    <col min="10" max="11" width="11.42578125" style="2"/>
    <col min="12" max="12" width="12.5703125" style="2" customWidth="1"/>
    <col min="13" max="16384" width="11.42578125" style="2"/>
  </cols>
  <sheetData>
    <row r="2" spans="2:7" ht="18.75" x14ac:dyDescent="0.3">
      <c r="B2" s="75" t="s">
        <v>172</v>
      </c>
      <c r="C2" s="75"/>
      <c r="D2" s="75"/>
      <c r="E2" s="75"/>
    </row>
    <row r="3" spans="2:7" ht="15.75" x14ac:dyDescent="0.25">
      <c r="B3" s="40">
        <f>VLOOKUP('2 Stellplatzreduktion'!$J$18,Tabelle2[],3,FALSE)</f>
        <v>0</v>
      </c>
      <c r="C3" s="76" t="s">
        <v>171</v>
      </c>
    </row>
    <row r="5" spans="2:7" x14ac:dyDescent="0.25">
      <c r="B5" s="230" t="s">
        <v>146</v>
      </c>
      <c r="C5" s="230"/>
      <c r="D5" s="230"/>
      <c r="E5" s="230"/>
      <c r="F5" s="230"/>
    </row>
    <row r="6" spans="2:7" x14ac:dyDescent="0.25">
      <c r="B6" s="7"/>
      <c r="C6" s="73" t="s">
        <v>147</v>
      </c>
      <c r="D6" s="73"/>
      <c r="E6" s="73"/>
      <c r="F6" s="73"/>
    </row>
    <row r="7" spans="2:7" x14ac:dyDescent="0.25">
      <c r="B7" s="7"/>
      <c r="C7" s="73" t="s">
        <v>148</v>
      </c>
      <c r="D7" s="73"/>
      <c r="E7" s="73"/>
      <c r="F7" s="73"/>
    </row>
    <row r="8" spans="2:7" x14ac:dyDescent="0.25">
      <c r="B8" s="7"/>
      <c r="C8" s="73" t="s">
        <v>149</v>
      </c>
      <c r="D8" s="73"/>
      <c r="E8" s="73"/>
      <c r="F8" s="73"/>
    </row>
    <row r="9" spans="2:7" x14ac:dyDescent="0.25">
      <c r="B9" s="7"/>
      <c r="C9" s="73" t="s">
        <v>150</v>
      </c>
      <c r="D9" s="73"/>
      <c r="E9" s="73"/>
      <c r="F9" s="73"/>
    </row>
    <row r="10" spans="2:7" x14ac:dyDescent="0.25">
      <c r="B10" s="7"/>
      <c r="C10" s="73" t="s">
        <v>199</v>
      </c>
      <c r="D10" s="73"/>
      <c r="E10" s="73"/>
      <c r="F10" s="73"/>
    </row>
    <row r="11" spans="2:7" x14ac:dyDescent="0.25">
      <c r="C11" s="2" t="s">
        <v>181</v>
      </c>
    </row>
    <row r="12" spans="2:7" x14ac:dyDescent="0.25">
      <c r="B12" s="217" t="s">
        <v>52</v>
      </c>
      <c r="C12" s="230"/>
      <c r="D12" s="230"/>
      <c r="E12" s="230"/>
      <c r="F12" s="230"/>
    </row>
    <row r="13" spans="2:7" x14ac:dyDescent="0.25">
      <c r="B13" s="3" t="s">
        <v>173</v>
      </c>
      <c r="G13" s="5"/>
    </row>
    <row r="14" spans="2:7" x14ac:dyDescent="0.25">
      <c r="B14" s="3"/>
      <c r="G14" s="5"/>
    </row>
    <row r="15" spans="2:7" ht="31.5" customHeight="1" x14ac:dyDescent="0.25">
      <c r="B15" s="231" t="s">
        <v>12</v>
      </c>
      <c r="C15" s="82" t="s">
        <v>13</v>
      </c>
      <c r="D15" s="82" t="s">
        <v>14</v>
      </c>
      <c r="E15" s="82" t="s">
        <v>4</v>
      </c>
      <c r="F15" s="82" t="s">
        <v>5</v>
      </c>
      <c r="G15" s="5"/>
    </row>
    <row r="16" spans="2:7" ht="31.5" customHeight="1" x14ac:dyDescent="0.25">
      <c r="B16" s="231"/>
      <c r="C16" s="154" t="s">
        <v>0</v>
      </c>
      <c r="D16" s="155" t="s">
        <v>16</v>
      </c>
      <c r="E16" s="155" t="s">
        <v>6</v>
      </c>
      <c r="F16" s="157">
        <v>10000</v>
      </c>
      <c r="G16" s="5"/>
    </row>
    <row r="17" spans="2:9" x14ac:dyDescent="0.25">
      <c r="B17" s="231"/>
      <c r="C17" s="154" t="s">
        <v>0</v>
      </c>
      <c r="D17" s="154" t="s">
        <v>196</v>
      </c>
      <c r="E17" s="160"/>
      <c r="F17" s="157"/>
      <c r="G17" s="5"/>
    </row>
    <row r="18" spans="2:9" ht="45" x14ac:dyDescent="0.25">
      <c r="B18" s="231"/>
      <c r="C18" s="154" t="s">
        <v>56</v>
      </c>
      <c r="D18" s="155" t="s">
        <v>192</v>
      </c>
      <c r="E18" s="155" t="s">
        <v>57</v>
      </c>
      <c r="F18" s="157">
        <f>40*280</f>
        <v>11200</v>
      </c>
      <c r="G18" s="5"/>
    </row>
    <row r="19" spans="2:9" x14ac:dyDescent="0.25">
      <c r="B19" s="231"/>
      <c r="C19" s="154" t="s">
        <v>56</v>
      </c>
      <c r="D19" s="155"/>
      <c r="E19" s="154"/>
      <c r="F19" s="157"/>
      <c r="G19" s="5"/>
    </row>
    <row r="20" spans="2:9" ht="30" x14ac:dyDescent="0.25">
      <c r="B20" s="231"/>
      <c r="C20" s="154" t="s">
        <v>55</v>
      </c>
      <c r="D20" s="155" t="s">
        <v>53</v>
      </c>
      <c r="E20" s="155" t="s">
        <v>67</v>
      </c>
      <c r="F20" s="157">
        <v>4950</v>
      </c>
    </row>
    <row r="21" spans="2:9" x14ac:dyDescent="0.25">
      <c r="B21" s="231"/>
      <c r="C21" s="154" t="s">
        <v>55</v>
      </c>
      <c r="D21" s="155" t="s">
        <v>15</v>
      </c>
      <c r="E21" s="160"/>
      <c r="F21" s="157"/>
    </row>
    <row r="22" spans="2:9" ht="30" x14ac:dyDescent="0.25">
      <c r="B22" s="231"/>
      <c r="C22" s="154" t="s">
        <v>58</v>
      </c>
      <c r="D22" s="155" t="s">
        <v>62</v>
      </c>
      <c r="E22" s="155" t="s">
        <v>63</v>
      </c>
      <c r="F22" s="157">
        <v>2500</v>
      </c>
      <c r="H22" s="77"/>
      <c r="I22" s="77"/>
    </row>
    <row r="23" spans="2:9" x14ac:dyDescent="0.25">
      <c r="B23" s="231"/>
      <c r="C23" s="154" t="s">
        <v>58</v>
      </c>
      <c r="D23" s="154" t="s">
        <v>15</v>
      </c>
      <c r="E23" s="160"/>
      <c r="F23" s="157"/>
    </row>
    <row r="24" spans="2:9" ht="30" x14ac:dyDescent="0.25">
      <c r="B24" s="231"/>
      <c r="C24" s="154" t="s">
        <v>59</v>
      </c>
      <c r="D24" s="155" t="s">
        <v>65</v>
      </c>
      <c r="E24" s="155" t="s">
        <v>60</v>
      </c>
      <c r="F24" s="157">
        <v>3350</v>
      </c>
    </row>
    <row r="25" spans="2:9" x14ac:dyDescent="0.25">
      <c r="B25" s="231"/>
      <c r="C25" s="154" t="s">
        <v>59</v>
      </c>
      <c r="D25" s="154" t="s">
        <v>15</v>
      </c>
      <c r="E25" s="154"/>
      <c r="F25" s="157"/>
    </row>
    <row r="26" spans="2:9" ht="15.75" x14ac:dyDescent="0.25">
      <c r="B26" s="231"/>
      <c r="C26" s="83"/>
      <c r="D26" s="84" t="s">
        <v>1</v>
      </c>
      <c r="E26" s="84"/>
      <c r="F26" s="85">
        <f>SUM(F16:F25)</f>
        <v>32000</v>
      </c>
      <c r="G26" s="79"/>
    </row>
    <row r="28" spans="2:9" ht="45" x14ac:dyDescent="0.25">
      <c r="B28" s="231" t="s">
        <v>17</v>
      </c>
      <c r="C28" s="154" t="s">
        <v>0</v>
      </c>
      <c r="D28" s="155" t="s">
        <v>66</v>
      </c>
      <c r="E28" s="156" t="s">
        <v>61</v>
      </c>
      <c r="F28" s="157">
        <f>20*100*0.2673+220.98</f>
        <v>755.57999999999993</v>
      </c>
    </row>
    <row r="29" spans="2:9" x14ac:dyDescent="0.25">
      <c r="B29" s="231"/>
      <c r="C29" s="154" t="s">
        <v>0</v>
      </c>
      <c r="D29" s="154" t="s">
        <v>197</v>
      </c>
      <c r="E29" s="154"/>
      <c r="F29" s="157"/>
    </row>
    <row r="30" spans="2:9" ht="75" x14ac:dyDescent="0.25">
      <c r="B30" s="231"/>
      <c r="C30" s="154" t="s">
        <v>56</v>
      </c>
      <c r="D30" s="155" t="s">
        <v>69</v>
      </c>
      <c r="E30" s="158" t="s">
        <v>68</v>
      </c>
      <c r="F30" s="159">
        <f>40*386.3</f>
        <v>15452</v>
      </c>
      <c r="G30" s="5"/>
    </row>
    <row r="31" spans="2:9" x14ac:dyDescent="0.25">
      <c r="B31" s="231"/>
      <c r="C31" s="154" t="s">
        <v>56</v>
      </c>
      <c r="D31" s="155" t="s">
        <v>15</v>
      </c>
      <c r="E31" s="154"/>
      <c r="F31" s="157"/>
    </row>
    <row r="32" spans="2:9" ht="30" customHeight="1" x14ac:dyDescent="0.25">
      <c r="B32" s="231"/>
      <c r="C32" s="154" t="s">
        <v>55</v>
      </c>
      <c r="D32" s="155" t="s">
        <v>54</v>
      </c>
      <c r="E32" s="154" t="s">
        <v>2</v>
      </c>
      <c r="F32" s="157">
        <f>12*2*5.95</f>
        <v>142.80000000000001</v>
      </c>
    </row>
    <row r="33" spans="2:7" x14ac:dyDescent="0.25">
      <c r="B33" s="231"/>
      <c r="C33" s="154" t="s">
        <v>55</v>
      </c>
      <c r="D33" s="154" t="s">
        <v>15</v>
      </c>
      <c r="E33" s="154"/>
      <c r="F33" s="157"/>
    </row>
    <row r="34" spans="2:7" ht="30" customHeight="1" x14ac:dyDescent="0.25">
      <c r="B34" s="231"/>
      <c r="C34" s="154" t="s">
        <v>58</v>
      </c>
      <c r="D34" s="155" t="s">
        <v>64</v>
      </c>
      <c r="E34" s="154" t="s">
        <v>2</v>
      </c>
      <c r="F34" s="157">
        <f>12*2*5.95</f>
        <v>142.80000000000001</v>
      </c>
    </row>
    <row r="35" spans="2:7" x14ac:dyDescent="0.25">
      <c r="B35" s="231"/>
      <c r="C35" s="154" t="s">
        <v>58</v>
      </c>
      <c r="D35" s="154" t="s">
        <v>15</v>
      </c>
      <c r="E35" s="154"/>
      <c r="F35" s="157"/>
    </row>
    <row r="36" spans="2:7" ht="45" x14ac:dyDescent="0.25">
      <c r="B36" s="231"/>
      <c r="C36" s="154" t="s">
        <v>59</v>
      </c>
      <c r="D36" s="155" t="s">
        <v>70</v>
      </c>
      <c r="E36" s="155" t="s">
        <v>71</v>
      </c>
      <c r="F36" s="159">
        <v>250</v>
      </c>
    </row>
    <row r="37" spans="2:7" x14ac:dyDescent="0.25">
      <c r="B37" s="232"/>
      <c r="C37" s="154" t="s">
        <v>59</v>
      </c>
      <c r="D37" s="154" t="s">
        <v>15</v>
      </c>
      <c r="E37" s="154"/>
      <c r="F37" s="157"/>
    </row>
    <row r="38" spans="2:7" ht="15.75" x14ac:dyDescent="0.25">
      <c r="B38" s="150"/>
      <c r="C38" s="83"/>
      <c r="D38" s="84" t="s">
        <v>3</v>
      </c>
      <c r="E38" s="84"/>
      <c r="F38" s="85">
        <f>SUM(F28:F37)</f>
        <v>16743.18</v>
      </c>
    </row>
    <row r="39" spans="2:7" ht="15.75" x14ac:dyDescent="0.25">
      <c r="B39" s="15"/>
      <c r="C39" s="15"/>
      <c r="D39" s="151"/>
      <c r="E39" s="151"/>
      <c r="F39" s="152"/>
    </row>
    <row r="40" spans="2:7" ht="15.75" x14ac:dyDescent="0.25">
      <c r="D40" s="40" t="s">
        <v>130</v>
      </c>
      <c r="E40" s="40"/>
      <c r="F40" s="78">
        <f>F38*B53</f>
        <v>87132.181126108815</v>
      </c>
      <c r="G40" s="40"/>
    </row>
    <row r="41" spans="2:7" ht="15.75" x14ac:dyDescent="0.25">
      <c r="D41" s="40" t="s">
        <v>131</v>
      </c>
      <c r="E41" s="40"/>
      <c r="F41" s="78">
        <f>F40/5</f>
        <v>17426.436225221762</v>
      </c>
      <c r="G41" s="40"/>
    </row>
    <row r="42" spans="2:7" ht="15.75" thickBot="1" x14ac:dyDescent="0.3">
      <c r="F42" s="80"/>
    </row>
    <row r="43" spans="2:7" ht="15.75" x14ac:dyDescent="0.25">
      <c r="D43" s="233" t="s">
        <v>18</v>
      </c>
      <c r="E43" s="234"/>
      <c r="F43" s="92">
        <f>F26+F41*5</f>
        <v>119132.1811261088</v>
      </c>
    </row>
    <row r="44" spans="2:7" x14ac:dyDescent="0.25">
      <c r="D44" s="235" t="s">
        <v>132</v>
      </c>
      <c r="E44" s="236"/>
      <c r="F44" s="93">
        <f>ROUNDDOWN(F43/12500,0)</f>
        <v>9</v>
      </c>
    </row>
    <row r="45" spans="2:7" x14ac:dyDescent="0.25">
      <c r="D45" s="228" t="str">
        <f>IF(B3&lt;F44, "Achtung, so viele Stellplätze sind nicht ersetzbar, da mehr als 30%! Maximal ersetzbar:","")</f>
        <v>Achtung, so viele Stellplätze sind nicht ersetzbar, da mehr als 30%! Maximal ersetzbar:</v>
      </c>
      <c r="E45" s="229"/>
      <c r="F45" s="161">
        <f>IF(B3&lt;F44,B3,"")</f>
        <v>0</v>
      </c>
    </row>
    <row r="46" spans="2:7" ht="16.5" thickBot="1" x14ac:dyDescent="0.3">
      <c r="D46" s="94" t="s">
        <v>95</v>
      </c>
      <c r="E46" s="95"/>
      <c r="F46" s="96">
        <f>VLOOKUP('2 Stellplatzreduktion'!$J$18,Tabelle2[],4,FALSE)</f>
        <v>0</v>
      </c>
    </row>
    <row r="47" spans="2:7" ht="15.75" thickBot="1" x14ac:dyDescent="0.3"/>
    <row r="48" spans="2:7" ht="30.75" customHeight="1" thickBot="1" x14ac:dyDescent="0.3">
      <c r="D48" s="226" t="s">
        <v>101</v>
      </c>
      <c r="E48" s="227"/>
      <c r="F48" s="81">
        <f>12500-MOD(F43,12500)</f>
        <v>5867.8188738911995</v>
      </c>
    </row>
    <row r="50" spans="2:3" x14ac:dyDescent="0.25">
      <c r="B50" s="2" t="s">
        <v>169</v>
      </c>
    </row>
    <row r="51" spans="2:3" x14ac:dyDescent="0.25">
      <c r="B51" s="153">
        <v>0.02</v>
      </c>
      <c r="C51" s="76" t="s">
        <v>133</v>
      </c>
    </row>
    <row r="52" spans="2:3" x14ac:dyDescent="0.25">
      <c r="B52" s="2">
        <v>5</v>
      </c>
      <c r="C52" s="76" t="s">
        <v>134</v>
      </c>
    </row>
    <row r="53" spans="2:3" x14ac:dyDescent="0.25">
      <c r="B53" s="24">
        <f>((1+B51)^B52-1)/B51</f>
        <v>5.2040401600000008</v>
      </c>
      <c r="C53" s="76" t="s">
        <v>170</v>
      </c>
    </row>
  </sheetData>
  <sheetProtection algorithmName="SHA-512" hashValue="GVV7Evol55mYkVtdH8kB/6HwEaJMucVd1O0vsh1kr0qV4lhMj042Hahxt49mvWzDoFaHi9zU2IzdFWaAM0GXvg==" saltValue="8gPSpW0GDmB2rVTpR+WyaA==" spinCount="100000" sheet="1" objects="1" scenarios="1"/>
  <mergeCells count="8">
    <mergeCell ref="D48:E48"/>
    <mergeCell ref="D45:E45"/>
    <mergeCell ref="B12:F12"/>
    <mergeCell ref="B5:F5"/>
    <mergeCell ref="B28:B37"/>
    <mergeCell ref="B15:B26"/>
    <mergeCell ref="D43:E43"/>
    <mergeCell ref="D44:E44"/>
  </mergeCells>
  <conditionalFormatting sqref="D45:E45">
    <cfRule type="containsText" dxfId="1" priority="2" operator="containsText" text="Achtung">
      <formula>NOT(ISERROR(SEARCH("Achtung",D45)))</formula>
    </cfRule>
  </conditionalFormatting>
  <conditionalFormatting sqref="F45">
    <cfRule type="cellIs" dxfId="0" priority="1" operator="equal">
      <formula>$B$3</formula>
    </cfRule>
  </conditionalFormatting>
  <pageMargins left="0.7" right="0.7" top="0.78740157499999996" bottom="0.78740157499999996"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9525</xdr:colOff>
                    <xdr:row>5</xdr:row>
                    <xdr:rowOff>9525</xdr:rowOff>
                  </from>
                  <to>
                    <xdr:col>2</xdr:col>
                    <xdr:colOff>0</xdr:colOff>
                    <xdr:row>6</xdr:row>
                    <xdr:rowOff>38100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1</xdr:col>
                    <xdr:colOff>9525</xdr:colOff>
                    <xdr:row>6</xdr:row>
                    <xdr:rowOff>9525</xdr:rowOff>
                  </from>
                  <to>
                    <xdr:col>2</xdr:col>
                    <xdr:colOff>0</xdr:colOff>
                    <xdr:row>7</xdr:row>
                    <xdr:rowOff>38100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1</xdr:col>
                    <xdr:colOff>9525</xdr:colOff>
                    <xdr:row>7</xdr:row>
                    <xdr:rowOff>9525</xdr:rowOff>
                  </from>
                  <to>
                    <xdr:col>2</xdr:col>
                    <xdr:colOff>0</xdr:colOff>
                    <xdr:row>8</xdr:row>
                    <xdr:rowOff>38100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xdr:col>
                    <xdr:colOff>9525</xdr:colOff>
                    <xdr:row>8</xdr:row>
                    <xdr:rowOff>9525</xdr:rowOff>
                  </from>
                  <to>
                    <xdr:col>2</xdr:col>
                    <xdr:colOff>0</xdr:colOff>
                    <xdr:row>9</xdr:row>
                    <xdr:rowOff>38100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1</xdr:col>
                    <xdr:colOff>9525</xdr:colOff>
                    <xdr:row>9</xdr:row>
                    <xdr:rowOff>9525</xdr:rowOff>
                  </from>
                  <to>
                    <xdr:col>2</xdr:col>
                    <xdr:colOff>0</xdr:colOff>
                    <xdr:row>10</xdr:row>
                    <xdr:rowOff>38100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1</xdr:col>
                    <xdr:colOff>9525</xdr:colOff>
                    <xdr:row>10</xdr:row>
                    <xdr:rowOff>9525</xdr:rowOff>
                  </from>
                  <to>
                    <xdr:col>2</xdr:col>
                    <xdr:colOff>0</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3"/>
  <sheetViews>
    <sheetView workbookViewId="0">
      <selection activeCell="B12" sqref="B12"/>
    </sheetView>
  </sheetViews>
  <sheetFormatPr baseColWidth="10" defaultRowHeight="15" x14ac:dyDescent="0.25"/>
  <cols>
    <col min="1" max="1" width="2.7109375" style="2" customWidth="1"/>
    <col min="2" max="2" width="88.140625" style="2" customWidth="1"/>
    <col min="3" max="3" width="60.7109375" style="2" customWidth="1"/>
    <col min="4" max="16384" width="11.42578125" style="2"/>
  </cols>
  <sheetData>
    <row r="2" spans="2:3" ht="18.75" x14ac:dyDescent="0.3">
      <c r="B2" s="75" t="s">
        <v>174</v>
      </c>
    </row>
    <row r="4" spans="2:3" x14ac:dyDescent="0.25">
      <c r="B4" s="164" t="s">
        <v>175</v>
      </c>
      <c r="C4" s="164" t="s">
        <v>178</v>
      </c>
    </row>
    <row r="5" spans="2:3" x14ac:dyDescent="0.25">
      <c r="B5" s="165" t="s">
        <v>193</v>
      </c>
      <c r="C5" s="166" t="s">
        <v>179</v>
      </c>
    </row>
    <row r="6" spans="2:3" ht="60" x14ac:dyDescent="0.25">
      <c r="B6" s="165" t="s">
        <v>194</v>
      </c>
      <c r="C6" s="165" t="s">
        <v>189</v>
      </c>
    </row>
    <row r="7" spans="2:3" ht="45" x14ac:dyDescent="0.25">
      <c r="B7" s="165" t="s">
        <v>195</v>
      </c>
      <c r="C7" s="184" t="s">
        <v>179</v>
      </c>
    </row>
    <row r="8" spans="2:3" ht="30.75" customHeight="1" x14ac:dyDescent="0.25">
      <c r="B8" s="165" t="s">
        <v>176</v>
      </c>
      <c r="C8" s="165" t="s">
        <v>182</v>
      </c>
    </row>
    <row r="9" spans="2:3" ht="30" x14ac:dyDescent="0.25">
      <c r="B9" s="165" t="s">
        <v>177</v>
      </c>
      <c r="C9" s="165" t="s">
        <v>180</v>
      </c>
    </row>
    <row r="13" spans="2:3" ht="15.75" x14ac:dyDescent="0.25">
      <c r="B13" s="162" t="s">
        <v>183</v>
      </c>
    </row>
    <row r="14" spans="2:3" ht="45" x14ac:dyDescent="0.25">
      <c r="B14" s="163" t="s">
        <v>191</v>
      </c>
    </row>
    <row r="15" spans="2:3" x14ac:dyDescent="0.25">
      <c r="B15" s="3" t="s">
        <v>185</v>
      </c>
    </row>
    <row r="16" spans="2:3" x14ac:dyDescent="0.25">
      <c r="B16" s="3" t="s">
        <v>184</v>
      </c>
    </row>
    <row r="18" spans="2:2" ht="15.75" x14ac:dyDescent="0.25">
      <c r="B18" s="162" t="s">
        <v>186</v>
      </c>
    </row>
    <row r="19" spans="2:2" ht="45" x14ac:dyDescent="0.25">
      <c r="B19" s="6" t="s">
        <v>187</v>
      </c>
    </row>
    <row r="20" spans="2:2" x14ac:dyDescent="0.25">
      <c r="B20" s="2" t="s">
        <v>188</v>
      </c>
    </row>
    <row r="22" spans="2:2" ht="15.75" x14ac:dyDescent="0.25">
      <c r="B22" s="162" t="s">
        <v>190</v>
      </c>
    </row>
    <row r="23" spans="2:2" ht="30" x14ac:dyDescent="0.25">
      <c r="B23" s="6" t="s">
        <v>200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Anleitung</vt:lpstr>
      <vt:lpstr>1 Stellplatzbedarf</vt:lpstr>
      <vt:lpstr>2 Stellplatzreduktion</vt:lpstr>
      <vt:lpstr>3 KostenberechMobikonzept</vt:lpstr>
      <vt:lpstr>4 Mobilitaetskonzept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Verkehr mit Köpfchen</dc:creator>
  <cp:lastModifiedBy>Vedder, Markus</cp:lastModifiedBy>
  <dcterms:created xsi:type="dcterms:W3CDTF">2019-10-16T13:48:06Z</dcterms:created>
  <dcterms:modified xsi:type="dcterms:W3CDTF">2023-09-19T12:49:52Z</dcterms:modified>
</cp:coreProperties>
</file>